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aafdbada082a305/DCA/"/>
    </mc:Choice>
  </mc:AlternateContent>
  <xr:revisionPtr revIDLastSave="0" documentId="8_{05F815B8-0E28-408A-A777-E81CA0DF202A}" xr6:coauthVersionLast="47" xr6:coauthVersionMax="47" xr10:uidLastSave="{00000000-0000-0000-0000-000000000000}"/>
  <bookViews>
    <workbookView xWindow="7740" yWindow="10690" windowWidth="22780" windowHeight="14540" tabRatio="500" xr2:uid="{00000000-000D-0000-FFFF-FFFF00000000}"/>
  </bookViews>
  <sheets>
    <sheet name="Cover" sheetId="1" r:id="rId1"/>
    <sheet name="Analysis-&gt;" sheetId="2" r:id="rId2"/>
    <sheet name="Precedent Transactions" sheetId="3" r:id="rId3"/>
    <sheet name="Comparable Companies" sheetId="4" r:id="rId4"/>
    <sheet name="IS" sheetId="5" r:id="rId5"/>
    <sheet name="Balance Sheet" sheetId="6" r:id="rId6"/>
    <sheet name="Cash Flow" sheetId="7" r:id="rId7"/>
    <sheet name="DCF" sheetId="8" r:id="rId8"/>
    <sheet name="Football Field" sheetId="9" r:id="rId9"/>
    <sheet name="Targe Price Weighting" sheetId="10" r:id="rId10"/>
  </sheets>
  <definedNames>
    <definedName name="unit" localSheetId="7">DCF!#REF!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0" l="1"/>
  <c r="E44" i="7"/>
  <c r="D44" i="7"/>
  <c r="C44" i="7"/>
  <c r="E34" i="7"/>
  <c r="D34" i="7"/>
  <c r="C34" i="7"/>
  <c r="J29" i="7"/>
  <c r="I29" i="7"/>
  <c r="H29" i="7"/>
  <c r="G29" i="7"/>
  <c r="F29" i="7"/>
  <c r="E23" i="7"/>
  <c r="E26" i="7" s="1"/>
  <c r="D23" i="7"/>
  <c r="D26" i="7" s="1"/>
  <c r="C23" i="7"/>
  <c r="C26" i="7" s="1"/>
  <c r="E18" i="7"/>
  <c r="D18" i="7"/>
  <c r="C18" i="7"/>
  <c r="E8" i="7"/>
  <c r="D8" i="7"/>
  <c r="C8" i="7"/>
  <c r="E7" i="7"/>
  <c r="D7" i="7"/>
  <c r="C7" i="7"/>
  <c r="J49" i="6"/>
  <c r="I49" i="6"/>
  <c r="H49" i="6"/>
  <c r="G49" i="6"/>
  <c r="F49" i="6"/>
  <c r="E49" i="6"/>
  <c r="D49" i="6"/>
  <c r="C49" i="6"/>
  <c r="J48" i="6"/>
  <c r="I48" i="6"/>
  <c r="H48" i="6"/>
  <c r="G48" i="6"/>
  <c r="F48" i="6"/>
  <c r="E48" i="6"/>
  <c r="D48" i="6"/>
  <c r="C48" i="6"/>
  <c r="E34" i="6"/>
  <c r="D34" i="6"/>
  <c r="C34" i="6"/>
  <c r="E28" i="6"/>
  <c r="D28" i="6"/>
  <c r="D29" i="6" s="1"/>
  <c r="D35" i="6" s="1"/>
  <c r="D13" i="6" s="1"/>
  <c r="D14" i="6" s="1"/>
  <c r="C28" i="6"/>
  <c r="F25" i="6"/>
  <c r="E23" i="6"/>
  <c r="E29" i="6" s="1"/>
  <c r="E35" i="6" s="1"/>
  <c r="E13" i="6" s="1"/>
  <c r="E14" i="6" s="1"/>
  <c r="D23" i="6"/>
  <c r="C23" i="6"/>
  <c r="C29" i="6" s="1"/>
  <c r="C35" i="6" s="1"/>
  <c r="C13" i="6" s="1"/>
  <c r="C14" i="6" s="1"/>
  <c r="E9" i="6"/>
  <c r="D9" i="6"/>
  <c r="C9" i="6"/>
  <c r="C15" i="6" s="1"/>
  <c r="C37" i="6" s="1"/>
  <c r="J35" i="5"/>
  <c r="I35" i="5"/>
  <c r="H35" i="5"/>
  <c r="G35" i="5"/>
  <c r="F35" i="5"/>
  <c r="J33" i="5"/>
  <c r="I33" i="5"/>
  <c r="H33" i="5"/>
  <c r="G33" i="5"/>
  <c r="F33" i="5"/>
  <c r="E33" i="5"/>
  <c r="D33" i="5"/>
  <c r="C33" i="5"/>
  <c r="D22" i="5"/>
  <c r="C22" i="5"/>
  <c r="E18" i="5"/>
  <c r="D18" i="5"/>
  <c r="C18" i="5"/>
  <c r="E11" i="5"/>
  <c r="D11" i="5"/>
  <c r="C11" i="5"/>
  <c r="H10" i="5"/>
  <c r="G10" i="5"/>
  <c r="F10" i="5"/>
  <c r="E6" i="5"/>
  <c r="E35" i="5" s="1"/>
  <c r="D6" i="5"/>
  <c r="D35" i="5" s="1"/>
  <c r="C6" i="5"/>
  <c r="C35" i="5" s="1"/>
  <c r="I5" i="5"/>
  <c r="I10" i="5" s="1"/>
  <c r="H5" i="5"/>
  <c r="G5" i="5"/>
  <c r="F5" i="5"/>
  <c r="F4" i="5"/>
  <c r="F6" i="5" s="1"/>
  <c r="C24" i="8" s="1"/>
  <c r="E2" i="5"/>
  <c r="E2" i="6" s="1"/>
  <c r="D2" i="5"/>
  <c r="D2" i="6" s="1"/>
  <c r="C18" i="4"/>
  <c r="C16" i="4"/>
  <c r="J7" i="4"/>
  <c r="H7" i="4"/>
  <c r="G7" i="4"/>
  <c r="F7" i="4"/>
  <c r="E7" i="4"/>
  <c r="D7" i="4"/>
  <c r="C7" i="4"/>
  <c r="L5" i="4"/>
  <c r="K5" i="4"/>
  <c r="J5" i="4"/>
  <c r="I5" i="4"/>
  <c r="L4" i="4"/>
  <c r="K4" i="4"/>
  <c r="J4" i="4"/>
  <c r="I4" i="4"/>
  <c r="I7" i="4" s="1"/>
  <c r="C13" i="4" s="1"/>
  <c r="L3" i="4"/>
  <c r="L7" i="4" s="1"/>
  <c r="K3" i="4"/>
  <c r="K7" i="4" s="1"/>
  <c r="J3" i="4"/>
  <c r="I3" i="4"/>
  <c r="K31" i="3"/>
  <c r="J31" i="3"/>
  <c r="I31" i="3"/>
  <c r="H31" i="3"/>
  <c r="G31" i="3"/>
  <c r="F31" i="3"/>
  <c r="E31" i="3"/>
  <c r="D31" i="3"/>
  <c r="H29" i="3"/>
  <c r="J6" i="3" s="1"/>
  <c r="J9" i="3" s="1"/>
  <c r="H28" i="3"/>
  <c r="H27" i="3"/>
  <c r="H26" i="3"/>
  <c r="J3" i="3" s="1"/>
  <c r="J8" i="3" s="1"/>
  <c r="C20" i="3"/>
  <c r="C18" i="3"/>
  <c r="K9" i="3"/>
  <c r="I8" i="3"/>
  <c r="K6" i="3"/>
  <c r="I6" i="3"/>
  <c r="H6" i="3"/>
  <c r="G6" i="3"/>
  <c r="F6" i="3"/>
  <c r="E6" i="3"/>
  <c r="C6" i="3"/>
  <c r="B6" i="3"/>
  <c r="K5" i="3"/>
  <c r="J5" i="3"/>
  <c r="I5" i="3"/>
  <c r="H5" i="3"/>
  <c r="H8" i="3" s="1"/>
  <c r="G5" i="3"/>
  <c r="F5" i="3"/>
  <c r="E5" i="3"/>
  <c r="C5" i="3"/>
  <c r="B5" i="3"/>
  <c r="K4" i="3"/>
  <c r="J4" i="3"/>
  <c r="I4" i="3"/>
  <c r="I9" i="3" s="1"/>
  <c r="H4" i="3"/>
  <c r="G4" i="3"/>
  <c r="F4" i="3"/>
  <c r="F9" i="3" s="1"/>
  <c r="C15" i="3" s="1"/>
  <c r="E4" i="3"/>
  <c r="E8" i="3" s="1"/>
  <c r="C4" i="3"/>
  <c r="B4" i="3"/>
  <c r="K3" i="3"/>
  <c r="K8" i="3" s="1"/>
  <c r="I3" i="3"/>
  <c r="H3" i="3"/>
  <c r="G3" i="3"/>
  <c r="G8" i="3" s="1"/>
  <c r="F3" i="3"/>
  <c r="F8" i="3" s="1"/>
  <c r="E3" i="3"/>
  <c r="C3" i="3"/>
  <c r="B3" i="3"/>
  <c r="D31" i="8"/>
  <c r="G30" i="8"/>
  <c r="F30" i="8"/>
  <c r="E30" i="8"/>
  <c r="D30" i="8"/>
  <c r="C30" i="8"/>
  <c r="D29" i="8"/>
  <c r="E29" i="8" s="1"/>
  <c r="E31" i="8" s="1"/>
  <c r="D28" i="8"/>
  <c r="E28" i="8" s="1"/>
  <c r="F28" i="8" s="1"/>
  <c r="G28" i="8" s="1"/>
  <c r="J22" i="8"/>
  <c r="J20" i="8"/>
  <c r="G17" i="8"/>
  <c r="F17" i="8"/>
  <c r="E17" i="8"/>
  <c r="D17" i="8"/>
  <c r="C17" i="8"/>
  <c r="E16" i="8"/>
  <c r="F16" i="8" s="1"/>
  <c r="G16" i="8" s="1"/>
  <c r="D16" i="8"/>
  <c r="J5" i="8"/>
  <c r="P4" i="8"/>
  <c r="Q4" i="8" s="1"/>
  <c r="R4" i="8" s="1"/>
  <c r="O4" i="8"/>
  <c r="D2" i="8"/>
  <c r="E2" i="8" s="1"/>
  <c r="F2" i="8" s="1"/>
  <c r="G2" i="8" s="1"/>
  <c r="J7" i="8" s="1"/>
  <c r="C4" i="8" l="1"/>
  <c r="F29" i="8"/>
  <c r="G9" i="3"/>
  <c r="H9" i="3"/>
  <c r="D15" i="6"/>
  <c r="D37" i="6" s="1"/>
  <c r="F26" i="6"/>
  <c r="F16" i="7" s="1"/>
  <c r="F17" i="5"/>
  <c r="F7" i="5"/>
  <c r="F22" i="6"/>
  <c r="F15" i="7" s="1"/>
  <c r="F15" i="5"/>
  <c r="F18" i="5" s="1"/>
  <c r="C7" i="8" s="1"/>
  <c r="F27" i="6"/>
  <c r="F17" i="7" s="1"/>
  <c r="F7" i="6"/>
  <c r="F11" i="7" s="1"/>
  <c r="F21" i="5"/>
  <c r="C3" i="8"/>
  <c r="F12" i="6"/>
  <c r="F9" i="7" s="1"/>
  <c r="F32" i="5"/>
  <c r="F16" i="5"/>
  <c r="F8" i="6"/>
  <c r="F12" i="7" s="1"/>
  <c r="F25" i="5"/>
  <c r="F21" i="6"/>
  <c r="F14" i="7" s="1"/>
  <c r="F34" i="5"/>
  <c r="E15" i="6"/>
  <c r="E37" i="6" s="1"/>
  <c r="C31" i="8"/>
  <c r="J3" i="8"/>
  <c r="E9" i="3"/>
  <c r="F30" i="7"/>
  <c r="G4" i="5"/>
  <c r="J5" i="5"/>
  <c r="J10" i="5" s="1"/>
  <c r="F9" i="5"/>
  <c r="F11" i="5" s="1"/>
  <c r="F19" i="6" s="1"/>
  <c r="E22" i="5"/>
  <c r="G25" i="6"/>
  <c r="D2" i="7"/>
  <c r="D7" i="5"/>
  <c r="E2" i="7"/>
  <c r="E7" i="5"/>
  <c r="C12" i="5"/>
  <c r="D12" i="5"/>
  <c r="E12" i="5"/>
  <c r="H25" i="6" l="1"/>
  <c r="G30" i="7"/>
  <c r="F28" i="6"/>
  <c r="E13" i="5"/>
  <c r="E19" i="5"/>
  <c r="E23" i="5"/>
  <c r="F32" i="6"/>
  <c r="F8" i="7"/>
  <c r="C20" i="8"/>
  <c r="F31" i="8"/>
  <c r="G29" i="8"/>
  <c r="G31" i="8" s="1"/>
  <c r="F23" i="6"/>
  <c r="F29" i="6" s="1"/>
  <c r="F13" i="7"/>
  <c r="F12" i="5"/>
  <c r="D13" i="5"/>
  <c r="D19" i="5"/>
  <c r="D23" i="5"/>
  <c r="C13" i="5"/>
  <c r="C19" i="5"/>
  <c r="C23" i="5"/>
  <c r="G9" i="5"/>
  <c r="G11" i="5" s="1"/>
  <c r="G19" i="6" s="1"/>
  <c r="H4" i="5"/>
  <c r="G6" i="5"/>
  <c r="F11" i="6"/>
  <c r="C21" i="8"/>
  <c r="C23" i="8" s="1"/>
  <c r="C22" i="8"/>
  <c r="F23" i="7"/>
  <c r="F26" i="7" s="1"/>
  <c r="F22" i="5"/>
  <c r="C11" i="8" s="1"/>
  <c r="C10" i="8"/>
  <c r="F7" i="7"/>
  <c r="C19" i="8"/>
  <c r="F18" i="7"/>
  <c r="H9" i="5" l="1"/>
  <c r="H11" i="5" s="1"/>
  <c r="H19" i="6" s="1"/>
  <c r="I4" i="5"/>
  <c r="H6" i="5"/>
  <c r="F19" i="5"/>
  <c r="F23" i="5"/>
  <c r="F13" i="5"/>
  <c r="C6" i="8" s="1"/>
  <c r="C5" i="8"/>
  <c r="E24" i="5"/>
  <c r="E26" i="5"/>
  <c r="E28" i="5" s="1"/>
  <c r="G13" i="7"/>
  <c r="E20" i="5"/>
  <c r="E49" i="7"/>
  <c r="F31" i="7"/>
  <c r="F34" i="7" s="1"/>
  <c r="G32" i="6"/>
  <c r="C26" i="5"/>
  <c r="C28" i="5" s="1"/>
  <c r="C24" i="5"/>
  <c r="C49" i="7"/>
  <c r="C20" i="5"/>
  <c r="G7" i="5"/>
  <c r="G22" i="6"/>
  <c r="G15" i="7" s="1"/>
  <c r="G15" i="5"/>
  <c r="G18" i="5" s="1"/>
  <c r="D7" i="8" s="1"/>
  <c r="G27" i="6"/>
  <c r="G17" i="7" s="1"/>
  <c r="G7" i="6"/>
  <c r="G11" i="7" s="1"/>
  <c r="G21" i="5"/>
  <c r="G12" i="6"/>
  <c r="G9" i="7" s="1"/>
  <c r="G32" i="5"/>
  <c r="G16" i="5"/>
  <c r="D4" i="8"/>
  <c r="G8" i="6"/>
  <c r="G12" i="7" s="1"/>
  <c r="G25" i="5"/>
  <c r="G21" i="6"/>
  <c r="G14" i="7" s="1"/>
  <c r="G34" i="5"/>
  <c r="G12" i="5"/>
  <c r="G26" i="6"/>
  <c r="G17" i="5"/>
  <c r="D24" i="8"/>
  <c r="D3" i="8"/>
  <c r="D26" i="5"/>
  <c r="D28" i="5" s="1"/>
  <c r="D24" i="5"/>
  <c r="I25" i="6"/>
  <c r="H30" i="7"/>
  <c r="G11" i="6"/>
  <c r="F14" i="6"/>
  <c r="D49" i="7"/>
  <c r="D20" i="5"/>
  <c r="G14" i="6" l="1"/>
  <c r="J25" i="6"/>
  <c r="I30" i="7"/>
  <c r="F20" i="5"/>
  <c r="C9" i="8" s="1"/>
  <c r="F49" i="7"/>
  <c r="C8" i="8"/>
  <c r="G31" i="7"/>
  <c r="G34" i="7" s="1"/>
  <c r="G16" i="7"/>
  <c r="G28" i="6"/>
  <c r="G23" i="5"/>
  <c r="G13" i="5"/>
  <c r="D6" i="8" s="1"/>
  <c r="G19" i="5"/>
  <c r="D5" i="8"/>
  <c r="D21" i="8"/>
  <c r="D22" i="8"/>
  <c r="G23" i="7"/>
  <c r="G26" i="7" s="1"/>
  <c r="G22" i="5"/>
  <c r="D11" i="8" s="1"/>
  <c r="D10" i="8"/>
  <c r="G7" i="7"/>
  <c r="D19" i="8"/>
  <c r="H22" i="6"/>
  <c r="H15" i="7" s="1"/>
  <c r="H15" i="5"/>
  <c r="H27" i="6"/>
  <c r="H17" i="7" s="1"/>
  <c r="H7" i="6"/>
  <c r="H11" i="7" s="1"/>
  <c r="H21" i="5"/>
  <c r="H12" i="6"/>
  <c r="H9" i="7" s="1"/>
  <c r="H32" i="5"/>
  <c r="H16" i="5"/>
  <c r="E4" i="8"/>
  <c r="H8" i="6"/>
  <c r="H12" i="7" s="1"/>
  <c r="H25" i="5"/>
  <c r="H21" i="6"/>
  <c r="H14" i="7" s="1"/>
  <c r="H34" i="5"/>
  <c r="H12" i="5"/>
  <c r="H26" i="6"/>
  <c r="H17" i="5"/>
  <c r="H7" i="5"/>
  <c r="E3" i="8"/>
  <c r="E24" i="8"/>
  <c r="G18" i="7"/>
  <c r="G23" i="6"/>
  <c r="G29" i="6" s="1"/>
  <c r="I9" i="5"/>
  <c r="I11" i="5" s="1"/>
  <c r="I19" i="6" s="1"/>
  <c r="J4" i="5"/>
  <c r="I6" i="5"/>
  <c r="G8" i="7"/>
  <c r="D20" i="8"/>
  <c r="F27" i="5"/>
  <c r="F24" i="5"/>
  <c r="C13" i="8" s="1"/>
  <c r="C12" i="8"/>
  <c r="C18" i="8"/>
  <c r="C25" i="8" s="1"/>
  <c r="C32" i="8" s="1"/>
  <c r="F26" i="5"/>
  <c r="F28" i="5" s="1"/>
  <c r="D5" i="7"/>
  <c r="D20" i="7" s="1"/>
  <c r="D29" i="5"/>
  <c r="C5" i="7"/>
  <c r="C20" i="7" s="1"/>
  <c r="C29" i="5"/>
  <c r="E5" i="7"/>
  <c r="E20" i="7" s="1"/>
  <c r="E29" i="5"/>
  <c r="H23" i="6"/>
  <c r="H13" i="7"/>
  <c r="H8" i="7" l="1"/>
  <c r="E20" i="8"/>
  <c r="J9" i="5"/>
  <c r="J11" i="5" s="1"/>
  <c r="J19" i="6" s="1"/>
  <c r="J6" i="5"/>
  <c r="I13" i="7"/>
  <c r="G27" i="5"/>
  <c r="G24" i="5"/>
  <c r="D13" i="8" s="1"/>
  <c r="D18" i="8"/>
  <c r="G26" i="5"/>
  <c r="G28" i="5" s="1"/>
  <c r="D12" i="8"/>
  <c r="E51" i="7"/>
  <c r="E52" i="7" s="1"/>
  <c r="E50" i="7"/>
  <c r="E22" i="8"/>
  <c r="H23" i="7"/>
  <c r="H26" i="7" s="1"/>
  <c r="E21" i="8"/>
  <c r="H22" i="5"/>
  <c r="E11" i="8" s="1"/>
  <c r="E10" i="8"/>
  <c r="H7" i="7"/>
  <c r="E19" i="8"/>
  <c r="H18" i="7"/>
  <c r="J30" i="7"/>
  <c r="H18" i="5"/>
  <c r="E7" i="8" s="1"/>
  <c r="D23" i="8"/>
  <c r="H32" i="6"/>
  <c r="H11" i="6"/>
  <c r="F33" i="6"/>
  <c r="F29" i="5"/>
  <c r="F5" i="7"/>
  <c r="F20" i="7" s="1"/>
  <c r="I27" i="6"/>
  <c r="I17" i="7" s="1"/>
  <c r="I7" i="6"/>
  <c r="I11" i="7" s="1"/>
  <c r="I21" i="5"/>
  <c r="I12" i="6"/>
  <c r="I9" i="7" s="1"/>
  <c r="I32" i="5"/>
  <c r="I16" i="5"/>
  <c r="I8" i="6"/>
  <c r="I12" i="7" s="1"/>
  <c r="I25" i="5"/>
  <c r="I21" i="6"/>
  <c r="I14" i="7" s="1"/>
  <c r="I34" i="5"/>
  <c r="I12" i="5"/>
  <c r="I26" i="6"/>
  <c r="I17" i="5"/>
  <c r="I7" i="5"/>
  <c r="I22" i="6"/>
  <c r="I15" i="7" s="1"/>
  <c r="I15" i="5"/>
  <c r="F24" i="8"/>
  <c r="F4" i="8"/>
  <c r="F3" i="8"/>
  <c r="G49" i="7"/>
  <c r="G20" i="5"/>
  <c r="D9" i="8" s="1"/>
  <c r="D8" i="8"/>
  <c r="C16" i="3"/>
  <c r="C17" i="3" s="1"/>
  <c r="C14" i="4"/>
  <c r="C15" i="4" s="1"/>
  <c r="H16" i="7"/>
  <c r="H28" i="6"/>
  <c r="H29" i="6" s="1"/>
  <c r="H23" i="5"/>
  <c r="H13" i="5"/>
  <c r="E6" i="8" s="1"/>
  <c r="H19" i="5"/>
  <c r="E5" i="8"/>
  <c r="C51" i="7"/>
  <c r="C52" i="7" s="1"/>
  <c r="C50" i="7"/>
  <c r="C38" i="7"/>
  <c r="C41" i="7" s="1"/>
  <c r="C43" i="7" s="1"/>
  <c r="D51" i="7"/>
  <c r="D52" i="7" s="1"/>
  <c r="D50" i="7"/>
  <c r="D42" i="7" l="1"/>
  <c r="C46" i="7"/>
  <c r="G33" i="6"/>
  <c r="F34" i="6"/>
  <c r="F35" i="6" s="1"/>
  <c r="H49" i="7"/>
  <c r="H20" i="5"/>
  <c r="E9" i="8" s="1"/>
  <c r="E8" i="8"/>
  <c r="I8" i="7"/>
  <c r="F20" i="8"/>
  <c r="I11" i="6"/>
  <c r="H14" i="6"/>
  <c r="J12" i="6"/>
  <c r="J9" i="7" s="1"/>
  <c r="J32" i="5"/>
  <c r="J16" i="5"/>
  <c r="J8" i="6"/>
  <c r="J12" i="7" s="1"/>
  <c r="J25" i="5"/>
  <c r="J21" i="6"/>
  <c r="J14" i="7" s="1"/>
  <c r="J34" i="5"/>
  <c r="J12" i="5"/>
  <c r="J26" i="6"/>
  <c r="J17" i="5"/>
  <c r="J7" i="5"/>
  <c r="J22" i="6"/>
  <c r="J15" i="7" s="1"/>
  <c r="J15" i="5"/>
  <c r="G24" i="8"/>
  <c r="J27" i="6"/>
  <c r="J17" i="7" s="1"/>
  <c r="J7" i="6"/>
  <c r="J11" i="7" s="1"/>
  <c r="J21" i="5"/>
  <c r="G3" i="8"/>
  <c r="G4" i="8"/>
  <c r="I32" i="6"/>
  <c r="H31" i="7"/>
  <c r="H34" i="7" s="1"/>
  <c r="H24" i="5"/>
  <c r="E13" i="8" s="1"/>
  <c r="E18" i="8"/>
  <c r="E25" i="8" s="1"/>
  <c r="E32" i="8" s="1"/>
  <c r="H26" i="5"/>
  <c r="H28" i="5" s="1"/>
  <c r="H27" i="5"/>
  <c r="E12" i="8"/>
  <c r="G29" i="5"/>
  <c r="G5" i="7"/>
  <c r="G20" i="7" s="1"/>
  <c r="I13" i="5"/>
  <c r="F6" i="8" s="1"/>
  <c r="I19" i="5"/>
  <c r="F5" i="8"/>
  <c r="F22" i="8"/>
  <c r="I23" i="7"/>
  <c r="I26" i="7" s="1"/>
  <c r="F21" i="8"/>
  <c r="F23" i="8" s="1"/>
  <c r="E23" i="8"/>
  <c r="D25" i="8"/>
  <c r="D32" i="8" s="1"/>
  <c r="I23" i="6"/>
  <c r="I29" i="6" s="1"/>
  <c r="I16" i="7"/>
  <c r="I18" i="7" s="1"/>
  <c r="I28" i="6"/>
  <c r="J13" i="7"/>
  <c r="C19" i="3"/>
  <c r="C22" i="3" s="1"/>
  <c r="C5" i="10" s="1"/>
  <c r="D4" i="9"/>
  <c r="I22" i="5"/>
  <c r="F11" i="8" s="1"/>
  <c r="F10" i="8"/>
  <c r="I7" i="7"/>
  <c r="F19" i="8"/>
  <c r="D3" i="9"/>
  <c r="C17" i="4"/>
  <c r="C20" i="4" s="1"/>
  <c r="C4" i="10" s="1"/>
  <c r="I18" i="5"/>
  <c r="F7" i="8" s="1"/>
  <c r="F41" i="7"/>
  <c r="F51" i="7"/>
  <c r="F52" i="7" s="1"/>
  <c r="F50" i="7"/>
  <c r="J8" i="7" l="1"/>
  <c r="G20" i="8"/>
  <c r="J32" i="6"/>
  <c r="I31" i="7"/>
  <c r="I34" i="7" s="1"/>
  <c r="J13" i="5"/>
  <c r="G6" i="8" s="1"/>
  <c r="J19" i="5"/>
  <c r="G5" i="8"/>
  <c r="H33" i="6"/>
  <c r="G34" i="6"/>
  <c r="G35" i="6" s="1"/>
  <c r="C3" i="9"/>
  <c r="E3" i="9"/>
  <c r="F3" i="9" s="1"/>
  <c r="H5" i="7"/>
  <c r="H20" i="7" s="1"/>
  <c r="H29" i="5"/>
  <c r="J23" i="7"/>
  <c r="J26" i="7" s="1"/>
  <c r="G22" i="8"/>
  <c r="G21" i="8"/>
  <c r="J11" i="6"/>
  <c r="J14" i="6" s="1"/>
  <c r="I14" i="6"/>
  <c r="J7" i="7"/>
  <c r="G19" i="8"/>
  <c r="J22" i="5"/>
  <c r="G11" i="8" s="1"/>
  <c r="G10" i="8"/>
  <c r="E4" i="9"/>
  <c r="C4" i="9"/>
  <c r="I23" i="5"/>
  <c r="D38" i="7"/>
  <c r="D41" i="7" s="1"/>
  <c r="D43" i="7" s="1"/>
  <c r="J23" i="6"/>
  <c r="J16" i="7"/>
  <c r="J18" i="7" s="1"/>
  <c r="J28" i="6"/>
  <c r="I49" i="7"/>
  <c r="I20" i="5"/>
  <c r="F9" i="8" s="1"/>
  <c r="F8" i="8"/>
  <c r="G41" i="7"/>
  <c r="G51" i="7"/>
  <c r="G52" i="7" s="1"/>
  <c r="G50" i="7"/>
  <c r="J18" i="5"/>
  <c r="G7" i="8" s="1"/>
  <c r="D46" i="7" l="1"/>
  <c r="E42" i="7"/>
  <c r="F4" i="9"/>
  <c r="G23" i="8"/>
  <c r="I24" i="5"/>
  <c r="F13" i="8" s="1"/>
  <c r="I26" i="5"/>
  <c r="I27" i="5"/>
  <c r="F18" i="8"/>
  <c r="F25" i="8" s="1"/>
  <c r="F32" i="8" s="1"/>
  <c r="F12" i="8"/>
  <c r="H34" i="6"/>
  <c r="H35" i="6" s="1"/>
  <c r="J31" i="7"/>
  <c r="J34" i="7" s="1"/>
  <c r="J29" i="6"/>
  <c r="J23" i="5"/>
  <c r="J49" i="7"/>
  <c r="J20" i="5"/>
  <c r="G9" i="8" s="1"/>
  <c r="G8" i="8"/>
  <c r="J4" i="8" s="1"/>
  <c r="J6" i="8" s="1"/>
  <c r="J12" i="8" s="1"/>
  <c r="H41" i="7"/>
  <c r="H51" i="7"/>
  <c r="H52" i="7" s="1"/>
  <c r="H50" i="7"/>
  <c r="J26" i="5" l="1"/>
  <c r="J27" i="5"/>
  <c r="J24" i="5"/>
  <c r="G13" i="8" s="1"/>
  <c r="G12" i="8"/>
  <c r="G18" i="8"/>
  <c r="G25" i="8" s="1"/>
  <c r="G32" i="8" s="1"/>
  <c r="I28" i="5"/>
  <c r="J11" i="8"/>
  <c r="J15" i="8" s="1"/>
  <c r="J19" i="8" s="1"/>
  <c r="E38" i="7"/>
  <c r="E41" i="7" s="1"/>
  <c r="E43" i="7"/>
  <c r="I5" i="7" l="1"/>
  <c r="I20" i="7" s="1"/>
  <c r="I29" i="5"/>
  <c r="I33" i="6"/>
  <c r="D5" i="9"/>
  <c r="J21" i="8"/>
  <c r="J23" i="8" s="1"/>
  <c r="J13" i="8"/>
  <c r="F42" i="7"/>
  <c r="F43" i="7" s="1"/>
  <c r="E46" i="7"/>
  <c r="J28" i="5"/>
  <c r="F6" i="6" l="1"/>
  <c r="G42" i="7"/>
  <c r="G43" i="7" s="1"/>
  <c r="C5" i="9"/>
  <c r="E5" i="9"/>
  <c r="F5" i="9" s="1"/>
  <c r="D7" i="9"/>
  <c r="J33" i="6"/>
  <c r="J34" i="6" s="1"/>
  <c r="J35" i="6" s="1"/>
  <c r="I34" i="6"/>
  <c r="I35" i="6" s="1"/>
  <c r="C6" i="10"/>
  <c r="C8" i="10" s="1"/>
  <c r="M4" i="8"/>
  <c r="J5" i="7"/>
  <c r="J20" i="7" s="1"/>
  <c r="J29" i="5"/>
  <c r="I41" i="7"/>
  <c r="I51" i="7"/>
  <c r="I52" i="7" s="1"/>
  <c r="I50" i="7"/>
  <c r="J41" i="7" l="1"/>
  <c r="J51" i="7"/>
  <c r="J52" i="7" s="1"/>
  <c r="J50" i="7"/>
  <c r="H42" i="7"/>
  <c r="H43" i="7" s="1"/>
  <c r="G6" i="6"/>
  <c r="F44" i="7"/>
  <c r="F46" i="7" s="1"/>
  <c r="F9" i="6"/>
  <c r="F15" i="6" s="1"/>
  <c r="F37" i="6" s="1"/>
  <c r="G44" i="7" l="1"/>
  <c r="G46" i="7" s="1"/>
  <c r="G9" i="6"/>
  <c r="G15" i="6" s="1"/>
  <c r="G37" i="6" s="1"/>
  <c r="I42" i="7"/>
  <c r="I43" i="7" s="1"/>
  <c r="H6" i="6"/>
  <c r="J42" i="7" l="1"/>
  <c r="J43" i="7" s="1"/>
  <c r="I6" i="6"/>
  <c r="H44" i="7"/>
  <c r="H46" i="7" s="1"/>
  <c r="H9" i="6"/>
  <c r="H15" i="6" s="1"/>
  <c r="H37" i="6" s="1"/>
  <c r="I44" i="7" l="1"/>
  <c r="I46" i="7" s="1"/>
  <c r="I9" i="6"/>
  <c r="I15" i="6" s="1"/>
  <c r="I37" i="6" s="1"/>
  <c r="J6" i="6"/>
  <c r="J44" i="7" l="1"/>
  <c r="J46" i="7" s="1"/>
  <c r="J9" i="6"/>
  <c r="J15" i="6" s="1"/>
  <c r="J37" i="6" s="1"/>
</calcChain>
</file>

<file path=xl/sharedStrings.xml><?xml version="1.0" encoding="utf-8"?>
<sst xmlns="http://schemas.openxmlformats.org/spreadsheetml/2006/main" count="293" uniqueCount="234">
  <si>
    <t>Name</t>
  </si>
  <si>
    <t>Email</t>
  </si>
  <si>
    <t>Dario Martinez</t>
  </si>
  <si>
    <t>Target</t>
  </si>
  <si>
    <t>Acquirer</t>
  </si>
  <si>
    <t>Transaction Date</t>
  </si>
  <si>
    <t>Transaction Value</t>
  </si>
  <si>
    <t>EV/LTM Revenue</t>
  </si>
  <si>
    <t>EV/NTM Revenue</t>
  </si>
  <si>
    <t>EV/NTM EBITDA</t>
  </si>
  <si>
    <t>EV/2Y Forward EBITDA</t>
  </si>
  <si>
    <t>NTM EBITDA Margin</t>
  </si>
  <si>
    <t>LTM Revenue Growth</t>
  </si>
  <si>
    <t>Median</t>
  </si>
  <si>
    <t>25th Percentile</t>
  </si>
  <si>
    <t>Reconciling Units</t>
  </si>
  <si>
    <t>Domo</t>
  </si>
  <si>
    <t>EV/LTM Revenue Multiple Case Ent. Value</t>
  </si>
  <si>
    <t>EV/2Y Forward EBITDA Multiple Case Ent. Value</t>
  </si>
  <si>
    <t>Blended Case</t>
  </si>
  <si>
    <t>Net Cash</t>
  </si>
  <si>
    <t>Implied Equity Value</t>
  </si>
  <si>
    <t>Shares outstanding</t>
  </si>
  <si>
    <t>Equity Value Per Share</t>
  </si>
  <si>
    <t>LTM Revenue</t>
  </si>
  <si>
    <t>NTM Revenue</t>
  </si>
  <si>
    <t>NTM EBITDA</t>
  </si>
  <si>
    <t>2Y Forward EBITDA</t>
  </si>
  <si>
    <t>Revenue Growth</t>
  </si>
  <si>
    <t>Enterprise Value</t>
  </si>
  <si>
    <t>Clearwater Analytics</t>
  </si>
  <si>
    <t>Warburg Pincus</t>
  </si>
  <si>
    <t>Informatica</t>
  </si>
  <si>
    <t>Salesforce</t>
  </si>
  <si>
    <t>Alteryx</t>
  </si>
  <si>
    <t>Insight/Clearlake</t>
  </si>
  <si>
    <t>WalkMe</t>
  </si>
  <si>
    <t>SAP</t>
  </si>
  <si>
    <t>Public Comps ($ Millions)</t>
  </si>
  <si>
    <t>Amplitude</t>
  </si>
  <si>
    <t>Elastic NV</t>
  </si>
  <si>
    <t>SimilarWeb</t>
  </si>
  <si>
    <t>Reconciling Number</t>
  </si>
  <si>
    <t>Income Statement ($ Millions)</t>
  </si>
  <si>
    <t>2027E</t>
  </si>
  <si>
    <t>2028E</t>
  </si>
  <si>
    <t>2029E</t>
  </si>
  <si>
    <t>2030E</t>
  </si>
  <si>
    <t>2031E</t>
  </si>
  <si>
    <t>REVENUE</t>
  </si>
  <si>
    <t xml:space="preserve">  Subscription Revenue</t>
  </si>
  <si>
    <t xml:space="preserve">  Professional Services Revenue</t>
  </si>
  <si>
    <t>Total Revenue</t>
  </si>
  <si>
    <t>Revenue Growth %</t>
  </si>
  <si>
    <t>-</t>
  </si>
  <si>
    <t>COST OF REVENUE</t>
  </si>
  <si>
    <t xml:space="preserve">  Subscription COGS</t>
  </si>
  <si>
    <t xml:space="preserve">  Professional Services COGS</t>
  </si>
  <si>
    <t>Total Cost of Revenue</t>
  </si>
  <si>
    <t>Gross Profit</t>
  </si>
  <si>
    <t>Gross Margin %</t>
  </si>
  <si>
    <t>OPERATING EXPENSES</t>
  </si>
  <si>
    <t xml:space="preserve">  Sales &amp; Marketing</t>
  </si>
  <si>
    <t xml:space="preserve">  Research &amp; Development</t>
  </si>
  <si>
    <t xml:space="preserve">  General &amp; Administrative</t>
  </si>
  <si>
    <t>Total Operating Expenses</t>
  </si>
  <si>
    <t>EBITDA</t>
  </si>
  <si>
    <t>EBITDA Margin %</t>
  </si>
  <si>
    <t xml:space="preserve">  Depreciation &amp; Amortization</t>
  </si>
  <si>
    <t>D&amp;A % of Revenue</t>
  </si>
  <si>
    <t>EBIT (Operating Income)</t>
  </si>
  <si>
    <t>EBIT Margin %</t>
  </si>
  <si>
    <t xml:space="preserve">  Other Expense, Net</t>
  </si>
  <si>
    <t>Pre-Tax Income (Loss)</t>
  </si>
  <si>
    <t xml:space="preserve">  Income Tax Expense</t>
  </si>
  <si>
    <t>Net Income (Loss)</t>
  </si>
  <si>
    <t>Net Margin %</t>
  </si>
  <si>
    <t>SUPPLEMENTAL ITEMS</t>
  </si>
  <si>
    <t>Stock-Based Compensation</t>
  </si>
  <si>
    <t>SBC % of Revenue</t>
  </si>
  <si>
    <t>Capital Expenditures (Total)</t>
  </si>
  <si>
    <t>CapEx % of Revenue</t>
  </si>
  <si>
    <t xml:space="preserve">ASSUMPTIONS </t>
  </si>
  <si>
    <t xml:space="preserve">  Subscription Revenue Growth %</t>
  </si>
  <si>
    <t xml:space="preserve">  Prof. Services Revenue Growth %</t>
  </si>
  <si>
    <t xml:space="preserve">  Subscription COGS %</t>
  </si>
  <si>
    <t xml:space="preserve">  Prof. Services COGS %</t>
  </si>
  <si>
    <t xml:space="preserve">  S&amp;M % of Revenue</t>
  </si>
  <si>
    <t xml:space="preserve">  R&amp;D % of Revenue</t>
  </si>
  <si>
    <t xml:space="preserve">  G&amp;A % of Revenue</t>
  </si>
  <si>
    <t xml:space="preserve">  D&amp;A % of Revenue</t>
  </si>
  <si>
    <t xml:space="preserve">  Other Expense % of Revenue</t>
  </si>
  <si>
    <t xml:space="preserve">  Tax Rate (on positive EBIT only)</t>
  </si>
  <si>
    <t xml:space="preserve">  SBC % of Revenue</t>
  </si>
  <si>
    <t xml:space="preserve">  Total CapEx % of Revenue</t>
  </si>
  <si>
    <t>Balance Sheet ($ Millions)</t>
  </si>
  <si>
    <t>ASSETS</t>
  </si>
  <si>
    <t>Current Assets</t>
  </si>
  <si>
    <t xml:space="preserve">    Cash &amp; Cash Equivalents</t>
  </si>
  <si>
    <t xml:space="preserve">    Accounts Receivable</t>
  </si>
  <si>
    <t xml:space="preserve">    Other Current Assets</t>
  </si>
  <si>
    <t>Total Current Assets</t>
  </si>
  <si>
    <t>Non-Current Assets</t>
  </si>
  <si>
    <t xml:space="preserve">    Property &amp; Equipment, net</t>
  </si>
  <si>
    <t xml:space="preserve">    Other Non-Current Assets</t>
  </si>
  <si>
    <t xml:space="preserve">    Reconciling / Other Assets</t>
  </si>
  <si>
    <t>Total Non-Current Assets</t>
  </si>
  <si>
    <t>TOTAL ASSETS</t>
  </si>
  <si>
    <t>LIABILITIES &amp; EQUITY</t>
  </si>
  <si>
    <t>Current Liabilities</t>
  </si>
  <si>
    <t xml:space="preserve">    Accounts Payable</t>
  </si>
  <si>
    <t xml:space="preserve">    Short-Term Debt</t>
  </si>
  <si>
    <t xml:space="preserve">    Deferred Revenue (Current)</t>
  </si>
  <si>
    <t xml:space="preserve">    Other Current Liabilities</t>
  </si>
  <si>
    <t>Total Current Liabilities</t>
  </si>
  <si>
    <t>Non-Current Liabilities</t>
  </si>
  <si>
    <t xml:space="preserve">    Long-Term Debt</t>
  </si>
  <si>
    <t xml:space="preserve">    Deferred Revenue (Noncurrent)</t>
  </si>
  <si>
    <t xml:space="preserve">    Other Non-Current Liabilities</t>
  </si>
  <si>
    <t>Total Non-Current Liabilities</t>
  </si>
  <si>
    <t>TOTAL LIABILITIES</t>
  </si>
  <si>
    <t>Equity</t>
  </si>
  <si>
    <t xml:space="preserve">    Common Stock &amp; APIC</t>
  </si>
  <si>
    <t xml:space="preserve">    Accumulated Deficit</t>
  </si>
  <si>
    <t>Total Stockholders' Equity (Deficit)</t>
  </si>
  <si>
    <t>TOTAL LIABILITIES &amp; EQUITY</t>
  </si>
  <si>
    <t xml:space="preserve"> CHECK:</t>
  </si>
  <si>
    <t>ASSUMPTIONS</t>
  </si>
  <si>
    <t>DSO (days)</t>
  </si>
  <si>
    <t>DPO (days)</t>
  </si>
  <si>
    <t>Deferred Revenue (Current) % Revenue</t>
  </si>
  <si>
    <t>Other Current Assets % Revenue</t>
  </si>
  <si>
    <t>Other Current Liabilities % Revenue</t>
  </si>
  <si>
    <t>Other Non-Current Assets % Revenue</t>
  </si>
  <si>
    <t>Other Non-Current Liabilities % Revenue</t>
  </si>
  <si>
    <t>Deferred Revenue (Non-Current) % Revenue</t>
  </si>
  <si>
    <t>CapEx % Revenue (from IS)</t>
  </si>
  <si>
    <t>D&amp;A % Revenue (from IS)</t>
  </si>
  <si>
    <t>Cash Flow Statement ($ Millions)</t>
  </si>
  <si>
    <t>CASH FROM OPERATIONS</t>
  </si>
  <si>
    <t xml:space="preserve">    Net Income (Loss)</t>
  </si>
  <si>
    <t>Non-Cash Adjustments</t>
  </si>
  <si>
    <t xml:space="preserve">    + Depreciation &amp; Amortization</t>
  </si>
  <si>
    <t xml:space="preserve">    + Stock-Based Compensation</t>
  </si>
  <si>
    <t xml:space="preserve">    + Other Non-Cash Items</t>
  </si>
  <si>
    <t>Changes in Working Capital</t>
  </si>
  <si>
    <t xml:space="preserve">      Δ Accounts Receivable</t>
  </si>
  <si>
    <t xml:space="preserve">      Δ Other Current Assets</t>
  </si>
  <si>
    <t xml:space="preserve">      Δ Accounts Payable</t>
  </si>
  <si>
    <t xml:space="preserve">      Δ Deferred Revenue (Current)</t>
  </si>
  <si>
    <t xml:space="preserve">      Δ Other Current Liabilities</t>
  </si>
  <si>
    <t xml:space="preserve">      Δ Deferred Revenue (Noncurrent)</t>
  </si>
  <si>
    <t xml:space="preserve">      Δ Other Non-Current Liabilities</t>
  </si>
  <si>
    <t xml:space="preserve">  Total Working Capital Changes</t>
  </si>
  <si>
    <t>CASH FROM INVESTING</t>
  </si>
  <si>
    <t xml:space="preserve">      Capital Expenditures</t>
  </si>
  <si>
    <t xml:space="preserve">      Other Investing Activities</t>
  </si>
  <si>
    <t>CASH FROM FINANCING</t>
  </si>
  <si>
    <t xml:space="preserve">      Δ Short-Term Debt</t>
  </si>
  <si>
    <t xml:space="preserve">      Δ Long-Term Debt (net)</t>
  </si>
  <si>
    <t xml:space="preserve">      Stock Option Exercises &amp; Equity (net)</t>
  </si>
  <si>
    <t xml:space="preserve">      Other Financing Activities</t>
  </si>
  <si>
    <t>RECONCILING ITEMS</t>
  </si>
  <si>
    <t xml:space="preserve">  Bloomberg / 10-K Data Discrepancy</t>
  </si>
  <si>
    <t xml:space="preserve">  Unmodeled Operating Items (accrued interest)</t>
  </si>
  <si>
    <t>CASH RECONCILIATION</t>
  </si>
  <si>
    <t>Net Change in Cash</t>
  </si>
  <si>
    <t xml:space="preserve">    Beginning Cash</t>
  </si>
  <si>
    <t>Ending Cash (CFS)</t>
  </si>
  <si>
    <t xml:space="preserve">    Balance Sheet Cash</t>
  </si>
  <si>
    <t xml:space="preserve"> CHECK: CFS Ending Cash vs BS Cash (must = 0)</t>
  </si>
  <si>
    <t>MEMO</t>
  </si>
  <si>
    <t xml:space="preserve">    EBITDA</t>
  </si>
  <si>
    <t xml:space="preserve">    Cash from Operations / Revenue</t>
  </si>
  <si>
    <t xml:space="preserve">    Free Cash Flow (CFO + CapEx)</t>
  </si>
  <si>
    <t xml:space="preserve">    FCF Margin</t>
  </si>
  <si>
    <t>Operating Scenario ($ Millions)</t>
  </si>
  <si>
    <t>EV/EBITDA</t>
  </si>
  <si>
    <t>Revenue</t>
  </si>
  <si>
    <t>WACC</t>
  </si>
  <si>
    <t>EV/EBITDA Multiple</t>
  </si>
  <si>
    <t>Terminal Year EBITDA</t>
  </si>
  <si>
    <t>Comps EV/EBITDA Multiple</t>
  </si>
  <si>
    <t>Gross Margin</t>
  </si>
  <si>
    <t>Terminal Value</t>
  </si>
  <si>
    <t>OpEx</t>
  </si>
  <si>
    <t>Discount Factor</t>
  </si>
  <si>
    <t>EBITDA Margin</t>
  </si>
  <si>
    <t>D&amp;A</t>
  </si>
  <si>
    <t>Cumulative PV of UFCF</t>
  </si>
  <si>
    <t>EBIT</t>
  </si>
  <si>
    <t>PV of Terminal Value</t>
  </si>
  <si>
    <t>EBIT Margin</t>
  </si>
  <si>
    <t>% of Enterprise Value</t>
  </si>
  <si>
    <t>Unlevered Free Cash Flow ($ Millions)</t>
  </si>
  <si>
    <t>Tax Rate</t>
  </si>
  <si>
    <t>NOPAT</t>
  </si>
  <si>
    <t>SBC</t>
  </si>
  <si>
    <t>Less: Net Debt</t>
  </si>
  <si>
    <t>Capitalized Software</t>
  </si>
  <si>
    <t>Implied Equity Value (Market Cap)</t>
  </si>
  <si>
    <t>PP&amp;E</t>
  </si>
  <si>
    <t>Fully Diluted Shares</t>
  </si>
  <si>
    <t>Total CapEx</t>
  </si>
  <si>
    <t>Implied Price Per Share</t>
  </si>
  <si>
    <t>Less Inc. (or Plus Decr.) in NWC</t>
  </si>
  <si>
    <t>UFCF</t>
  </si>
  <si>
    <t>Discount Period (Mid-Year Convention)</t>
  </si>
  <si>
    <t>PVLS Factor</t>
  </si>
  <si>
    <t>Present Value of Free Cash Flow</t>
  </si>
  <si>
    <t>DCF ASSUMPTIONS</t>
  </si>
  <si>
    <t>EV/EBITDA Exit Multiple</t>
  </si>
  <si>
    <t>Net Debt ($M)</t>
  </si>
  <si>
    <t>Fully Diluted Shares (M)</t>
  </si>
  <si>
    <t>CapEx &amp; NWC Assumptions</t>
  </si>
  <si>
    <t>Capitalized Software % of Total CapEx</t>
  </si>
  <si>
    <t>NWC Change % of Revenue</t>
  </si>
  <si>
    <t>Football Field</t>
  </si>
  <si>
    <t>Delta</t>
  </si>
  <si>
    <t>Low ($M)</t>
  </si>
  <si>
    <t>Base ($M)</t>
  </si>
  <si>
    <t>High ($M)</t>
  </si>
  <si>
    <t>Enterprise Value Range</t>
  </si>
  <si>
    <t>Comps (EV/Revenue)</t>
  </si>
  <si>
    <t>Transactions (EV/Revenue)</t>
  </si>
  <si>
    <t>DCF (EV/EBITDA)</t>
  </si>
  <si>
    <t>Valuation Method</t>
  </si>
  <si>
    <t>Target Price</t>
  </si>
  <si>
    <t>Weight</t>
  </si>
  <si>
    <t>Public Comps</t>
  </si>
  <si>
    <t>Transactions</t>
  </si>
  <si>
    <t>DCF</t>
  </si>
  <si>
    <t>TOTAL</t>
  </si>
  <si>
    <t>dario3martinez@gmail.com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</si>
</sst>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\$#,##0.0\B"/>
    <numFmt numFmtId="165" formatCode="\$#,##0\M"/>
    <numFmt numFmtId="166" formatCode="\$#,##0.0_);[Red]&quot;($&quot;#,##0.0\)"/>
    <numFmt numFmtId="167" formatCode="0.0\x"/>
    <numFmt numFmtId="168" formatCode="0.0%;[Red]\(0.0%\)"/>
    <numFmt numFmtId="169" formatCode="\$#,##0_);[Red]&quot;($&quot;#,##0\)"/>
    <numFmt numFmtId="170" formatCode="0.0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\$#,##0.0"/>
    <numFmt numFmtId="175" formatCode="\$#,##0.00"/>
    <numFmt numFmtId="176" formatCode="0.0%"/>
    <numFmt numFmtId="177" formatCode="\$#,##0.00_);[Red]&quot;($&quot;#,##0.00\)"/>
    <numFmt numFmtId="178" formatCode="#,##0.0_);[Red]\(#,##0.0\)"/>
    <numFmt numFmtId="179" formatCode="\$#,##0.0;&quot;($&quot;#,##0.0\);\-"/>
    <numFmt numFmtId="180" formatCode="0.0%;[Red]\(0.0%\);&quot;--&quot;"/>
    <numFmt numFmtId="181" formatCode="0.0%;\(0.0%\);\-"/>
    <numFmt numFmtId="182" formatCode="\$#,##0.00;&quot;($&quot;#,##0.00\);\-"/>
    <numFmt numFmtId="183" formatCode="m/d/yy"/>
    <numFmt numFmtId="184" formatCode="0\E"/>
    <numFmt numFmtId="185" formatCode="\$#,##0.0_);&quot;($&quot;#,##0.0\)"/>
    <numFmt numFmtId="186" formatCode="0.00000%"/>
    <numFmt numFmtId="187" formatCode="0.00000\x"/>
    <numFmt numFmtId="188" formatCode="0.000000000000"/>
    <numFmt numFmtId="189" formatCode="0.0%;\(0.0%\);&quot;--&quot;"/>
    <numFmt numFmtId="190" formatCode="\$#,##0_);&quot;($&quot;#,##0\)"/>
    <numFmt numFmtId="191" formatCode="\$#,##0"/>
  </numFmts>
  <fonts count="26" x14ac:knownFonts="1">
    <font>
      <sz val="11"/>
      <color theme="1"/>
      <name val="Aptos Narrow"/>
      <family val="2"/>
      <charset val="1"/>
    </font>
    <font>
      <sz val="11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u/>
      <sz val="11"/>
      <color theme="10"/>
      <name val="Aptos Narrow"/>
      <family val="2"/>
      <charset val="1"/>
    </font>
    <font>
      <b/>
      <sz val="9"/>
      <color theme="0"/>
      <name val="Arial"/>
      <family val="2"/>
      <charset val="1"/>
    </font>
    <font>
      <b/>
      <sz val="9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8000"/>
      <name val="Arial"/>
      <family val="2"/>
      <charset val="1"/>
    </font>
    <font>
      <sz val="9"/>
      <name val="Arial"/>
      <family val="2"/>
      <charset val="1"/>
    </font>
    <font>
      <sz val="9"/>
      <color theme="0"/>
      <name val="Arial"/>
      <family val="2"/>
      <charset val="1"/>
    </font>
    <font>
      <sz val="9"/>
      <color theme="9" tint="-0.249977111117893"/>
      <name val="Arial"/>
      <family val="2"/>
      <charset val="1"/>
    </font>
    <font>
      <b/>
      <i/>
      <sz val="9"/>
      <color theme="1"/>
      <name val="Arial"/>
      <family val="2"/>
      <charset val="1"/>
    </font>
    <font>
      <b/>
      <i/>
      <sz val="9"/>
      <color rgb="FF0000FF"/>
      <name val="Arial"/>
      <family val="2"/>
      <charset val="1"/>
    </font>
    <font>
      <b/>
      <sz val="11"/>
      <color rgb="FF000000"/>
      <name val="Cambria"/>
      <charset val="1"/>
    </font>
    <font>
      <sz val="11"/>
      <color rgb="FF000000"/>
      <name val="Cambria"/>
      <charset val="1"/>
    </font>
    <font>
      <sz val="11"/>
      <color rgb="FF0000FF"/>
      <name val="Cambria"/>
      <charset val="1"/>
    </font>
    <font>
      <b/>
      <sz val="11"/>
      <color theme="0"/>
      <name val="Aptos Narrow"/>
      <family val="2"/>
      <charset val="1"/>
    </font>
    <font>
      <b/>
      <sz val="11"/>
      <color theme="1"/>
      <name val="Aptos Narrow"/>
      <family val="2"/>
      <charset val="1"/>
    </font>
    <font>
      <sz val="11"/>
      <color rgb="FF0000FF"/>
      <name val="Aptos Narrow"/>
      <family val="2"/>
      <charset val="1"/>
    </font>
    <font>
      <sz val="11"/>
      <color theme="1"/>
      <name val="Aptos Narrow"/>
      <family val="2"/>
      <charset val="1"/>
    </font>
    <font>
      <sz val="9"/>
      <color rgb="FF000000"/>
      <name val="Arial"/>
      <family val="2"/>
    </font>
    <font>
      <sz val="9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rgb="FF002060"/>
      </patternFill>
    </fill>
    <fill>
      <patternFill patternType="solid">
        <fgColor theme="0" tint="-0.14999847407452621"/>
        <bgColor rgb="FFDCEAF7"/>
      </patternFill>
    </fill>
    <fill>
      <patternFill patternType="solid">
        <fgColor rgb="FF002060"/>
        <bgColor rgb="FF0E2841"/>
      </patternFill>
    </fill>
    <fill>
      <patternFill patternType="solid">
        <fgColor theme="3" tint="0.89989928891872917"/>
        <bgColor rgb="FFD9F2D0"/>
      </patternFill>
    </fill>
    <fill>
      <patternFill patternType="solid">
        <fgColor rgb="FFFFFF00"/>
        <bgColor rgb="FFFFFF00"/>
      </patternFill>
    </fill>
    <fill>
      <patternFill patternType="solid">
        <fgColor rgb="FF1F3864"/>
        <bgColor rgb="FF0E2841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71" fontId="23" fillId="0" borderId="0"/>
    <xf numFmtId="173" fontId="23" fillId="0" borderId="0"/>
    <xf numFmtId="9" fontId="23" fillId="0" borderId="0"/>
    <xf numFmtId="0" fontId="4" fillId="0" borderId="0"/>
    <xf numFmtId="0" fontId="1" fillId="0" borderId="0"/>
  </cellStyleXfs>
  <cellXfs count="180">
    <xf numFmtId="0" fontId="0" fillId="0" borderId="0" xfId="0"/>
    <xf numFmtId="0" fontId="20" fillId="4" borderId="0" xfId="0" applyFont="1" applyFill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5" fillId="4" borderId="0" xfId="5" applyFont="1" applyFill="1" applyAlignment="1">
      <alignment horizontal="center" vertical="center"/>
    </xf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3" borderId="0" xfId="0" applyFont="1" applyFill="1"/>
    <xf numFmtId="0" fontId="5" fillId="4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3" applyNumberFormat="1" applyFont="1"/>
    <xf numFmtId="169" fontId="2" fillId="0" borderId="0" xfId="0" applyNumberFormat="1" applyFont="1"/>
    <xf numFmtId="0" fontId="3" fillId="5" borderId="1" xfId="0" applyFont="1" applyFill="1" applyBorder="1"/>
    <xf numFmtId="0" fontId="2" fillId="5" borderId="2" xfId="0" applyFont="1" applyFill="1" applyBorder="1"/>
    <xf numFmtId="166" fontId="2" fillId="5" borderId="2" xfId="0" applyNumberFormat="1" applyFont="1" applyFill="1" applyBorder="1"/>
    <xf numFmtId="167" fontId="3" fillId="5" borderId="2" xfId="0" applyNumberFormat="1" applyFont="1" applyFill="1" applyBorder="1"/>
    <xf numFmtId="168" fontId="3" fillId="5" borderId="2" xfId="3" applyNumberFormat="1" applyFont="1" applyFill="1" applyBorder="1"/>
    <xf numFmtId="168" fontId="3" fillId="5" borderId="3" xfId="3" applyNumberFormat="1" applyFont="1" applyFill="1" applyBorder="1"/>
    <xf numFmtId="0" fontId="3" fillId="5" borderId="6" xfId="0" applyFont="1" applyFill="1" applyBorder="1"/>
    <xf numFmtId="0" fontId="2" fillId="5" borderId="7" xfId="0" applyFont="1" applyFill="1" applyBorder="1"/>
    <xf numFmtId="166" fontId="2" fillId="5" borderId="7" xfId="0" applyNumberFormat="1" applyFont="1" applyFill="1" applyBorder="1"/>
    <xf numFmtId="167" fontId="3" fillId="5" borderId="7" xfId="0" applyNumberFormat="1" applyFont="1" applyFill="1" applyBorder="1"/>
    <xf numFmtId="168" fontId="3" fillId="5" borderId="7" xfId="3" applyNumberFormat="1" applyFont="1" applyFill="1" applyBorder="1"/>
    <xf numFmtId="168" fontId="3" fillId="5" borderId="8" xfId="3" applyNumberFormat="1" applyFont="1" applyFill="1" applyBorder="1"/>
    <xf numFmtId="0" fontId="3" fillId="0" borderId="0" xfId="0" applyFont="1"/>
    <xf numFmtId="9" fontId="3" fillId="0" borderId="0" xfId="0" applyNumberFormat="1" applyFont="1"/>
    <xf numFmtId="167" fontId="3" fillId="0" borderId="0" xfId="0" applyNumberFormat="1" applyFont="1"/>
    <xf numFmtId="170" fontId="7" fillId="6" borderId="0" xfId="0" applyNumberFormat="1" applyFont="1" applyFill="1"/>
    <xf numFmtId="166" fontId="2" fillId="0" borderId="0" xfId="1" applyNumberFormat="1" applyFont="1"/>
    <xf numFmtId="172" fontId="2" fillId="0" borderId="0" xfId="1" applyNumberFormat="1" applyFont="1"/>
    <xf numFmtId="0" fontId="3" fillId="0" borderId="2" xfId="0" applyFont="1" applyBorder="1"/>
    <xf numFmtId="174" fontId="3" fillId="0" borderId="2" xfId="2" applyNumberFormat="1" applyFont="1" applyBorder="1"/>
    <xf numFmtId="175" fontId="3" fillId="0" borderId="0" xfId="2" applyNumberFormat="1" applyFont="1"/>
    <xf numFmtId="176" fontId="2" fillId="0" borderId="0" xfId="3" applyNumberFormat="1" applyFont="1"/>
    <xf numFmtId="0" fontId="2" fillId="0" borderId="2" xfId="0" applyFont="1" applyBorder="1"/>
    <xf numFmtId="166" fontId="3" fillId="0" borderId="2" xfId="0" applyNumberFormat="1" applyFont="1" applyBorder="1"/>
    <xf numFmtId="168" fontId="3" fillId="0" borderId="2" xfId="3" applyNumberFormat="1" applyFont="1" applyBorder="1"/>
    <xf numFmtId="176" fontId="3" fillId="0" borderId="2" xfId="3" applyNumberFormat="1" applyFont="1" applyBorder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9" fontId="2" fillId="0" borderId="0" xfId="3" applyFont="1"/>
    <xf numFmtId="0" fontId="3" fillId="5" borderId="9" xfId="0" applyFont="1" applyFill="1" applyBorder="1"/>
    <xf numFmtId="166" fontId="3" fillId="5" borderId="10" xfId="0" applyNumberFormat="1" applyFont="1" applyFill="1" applyBorder="1"/>
    <xf numFmtId="174" fontId="3" fillId="5" borderId="10" xfId="0" applyNumberFormat="1" applyFont="1" applyFill="1" applyBorder="1"/>
    <xf numFmtId="176" fontId="3" fillId="5" borderId="10" xfId="0" applyNumberFormat="1" applyFont="1" applyFill="1" applyBorder="1"/>
    <xf numFmtId="167" fontId="3" fillId="5" borderId="10" xfId="0" applyNumberFormat="1" applyFont="1" applyFill="1" applyBorder="1"/>
    <xf numFmtId="167" fontId="3" fillId="5" borderId="11" xfId="0" applyNumberFormat="1" applyFont="1" applyFill="1" applyBorder="1"/>
    <xf numFmtId="177" fontId="2" fillId="0" borderId="0" xfId="0" applyNumberFormat="1" applyFont="1"/>
    <xf numFmtId="178" fontId="2" fillId="0" borderId="0" xfId="1" applyNumberFormat="1" applyFont="1"/>
    <xf numFmtId="0" fontId="1" fillId="0" borderId="0" xfId="5"/>
    <xf numFmtId="0" fontId="8" fillId="0" borderId="0" xfId="5" applyFont="1"/>
    <xf numFmtId="0" fontId="9" fillId="7" borderId="0" xfId="5" applyFont="1" applyFill="1" applyAlignment="1">
      <alignment vertical="center"/>
    </xf>
    <xf numFmtId="0" fontId="2" fillId="0" borderId="0" xfId="5" applyFont="1"/>
    <xf numFmtId="0" fontId="10" fillId="3" borderId="0" xfId="5" applyFont="1" applyFill="1" applyAlignment="1">
      <alignment horizontal="right" vertical="center"/>
    </xf>
    <xf numFmtId="0" fontId="3" fillId="0" borderId="0" xfId="5" applyFont="1"/>
    <xf numFmtId="179" fontId="7" fillId="0" borderId="0" xfId="5" applyNumberFormat="1" applyFont="1"/>
    <xf numFmtId="179" fontId="8" fillId="0" borderId="0" xfId="5" applyNumberFormat="1" applyFont="1"/>
    <xf numFmtId="0" fontId="10" fillId="0" borderId="0" xfId="5" applyFont="1"/>
    <xf numFmtId="179" fontId="10" fillId="0" borderId="10" xfId="5" applyNumberFormat="1" applyFont="1" applyBorder="1"/>
    <xf numFmtId="180" fontId="2" fillId="0" borderId="0" xfId="5" applyNumberFormat="1" applyFont="1"/>
    <xf numFmtId="179" fontId="10" fillId="0" borderId="12" xfId="5" applyNumberFormat="1" applyFont="1" applyBorder="1"/>
    <xf numFmtId="181" fontId="8" fillId="0" borderId="0" xfId="5" applyNumberFormat="1" applyFont="1"/>
    <xf numFmtId="166" fontId="3" fillId="0" borderId="0" xfId="5" applyNumberFormat="1" applyFont="1"/>
    <xf numFmtId="179" fontId="10" fillId="0" borderId="0" xfId="5" applyNumberFormat="1" applyFont="1"/>
    <xf numFmtId="180" fontId="2" fillId="0" borderId="2" xfId="5" applyNumberFormat="1" applyFont="1" applyBorder="1"/>
    <xf numFmtId="181" fontId="8" fillId="0" borderId="2" xfId="5" applyNumberFormat="1" applyFont="1" applyBorder="1"/>
    <xf numFmtId="166" fontId="2" fillId="0" borderId="0" xfId="5" applyNumberFormat="1" applyFont="1"/>
    <xf numFmtId="0" fontId="9" fillId="7" borderId="0" xfId="5" applyFont="1" applyFill="1"/>
    <xf numFmtId="0" fontId="7" fillId="5" borderId="1" xfId="5" applyFont="1" applyFill="1" applyBorder="1"/>
    <xf numFmtId="181" fontId="7" fillId="5" borderId="2" xfId="5" applyNumberFormat="1" applyFont="1" applyFill="1" applyBorder="1"/>
    <xf numFmtId="181" fontId="7" fillId="5" borderId="3" xfId="5" applyNumberFormat="1" applyFont="1" applyFill="1" applyBorder="1"/>
    <xf numFmtId="0" fontId="7" fillId="5" borderId="4" xfId="5" applyFont="1" applyFill="1" applyBorder="1"/>
    <xf numFmtId="181" fontId="7" fillId="5" borderId="0" xfId="5" applyNumberFormat="1" applyFont="1" applyFill="1"/>
    <xf numFmtId="181" fontId="7" fillId="5" borderId="5" xfId="5" applyNumberFormat="1" applyFont="1" applyFill="1" applyBorder="1"/>
    <xf numFmtId="0" fontId="7" fillId="5" borderId="6" xfId="5" applyFont="1" applyFill="1" applyBorder="1"/>
    <xf numFmtId="181" fontId="7" fillId="5" borderId="7" xfId="5" applyNumberFormat="1" applyFont="1" applyFill="1" applyBorder="1"/>
    <xf numFmtId="181" fontId="7" fillId="5" borderId="8" xfId="5" applyNumberFormat="1" applyFont="1" applyFill="1" applyBorder="1"/>
    <xf numFmtId="0" fontId="10" fillId="0" borderId="0" xfId="5" applyFont="1" applyAlignment="1">
      <alignment horizontal="center" vertical="center"/>
    </xf>
    <xf numFmtId="179" fontId="11" fillId="0" borderId="0" xfId="5" applyNumberFormat="1" applyFont="1"/>
    <xf numFmtId="179" fontId="7" fillId="0" borderId="10" xfId="5" applyNumberFormat="1" applyFont="1" applyBorder="1"/>
    <xf numFmtId="179" fontId="10" fillId="0" borderId="13" xfId="5" applyNumberFormat="1" applyFont="1" applyBorder="1"/>
    <xf numFmtId="182" fontId="9" fillId="7" borderId="0" xfId="5" applyNumberFormat="1" applyFont="1" applyFill="1"/>
    <xf numFmtId="0" fontId="12" fillId="0" borderId="0" xfId="5" applyFont="1"/>
    <xf numFmtId="170" fontId="7" fillId="5" borderId="2" xfId="5" applyNumberFormat="1" applyFont="1" applyFill="1" applyBorder="1"/>
    <xf numFmtId="170" fontId="7" fillId="5" borderId="3" xfId="5" applyNumberFormat="1" applyFont="1" applyFill="1" applyBorder="1"/>
    <xf numFmtId="170" fontId="7" fillId="5" borderId="0" xfId="5" applyNumberFormat="1" applyFont="1" applyFill="1"/>
    <xf numFmtId="170" fontId="7" fillId="5" borderId="5" xfId="5" applyNumberFormat="1" applyFont="1" applyFill="1" applyBorder="1"/>
    <xf numFmtId="166" fontId="10" fillId="0" borderId="10" xfId="5" applyNumberFormat="1" applyFont="1" applyBorder="1"/>
    <xf numFmtId="166" fontId="10" fillId="0" borderId="13" xfId="5" applyNumberFormat="1" applyFont="1" applyBorder="1"/>
    <xf numFmtId="166" fontId="8" fillId="0" borderId="0" xfId="5" applyNumberFormat="1" applyFont="1"/>
    <xf numFmtId="0" fontId="10" fillId="3" borderId="0" xfId="5" applyFont="1" applyFill="1"/>
    <xf numFmtId="0" fontId="5" fillId="4" borderId="0" xfId="5" applyFont="1" applyFill="1"/>
    <xf numFmtId="183" fontId="12" fillId="4" borderId="0" xfId="5" applyNumberFormat="1" applyFont="1" applyFill="1"/>
    <xf numFmtId="0" fontId="2" fillId="3" borderId="0" xfId="5" applyFont="1" applyFill="1"/>
    <xf numFmtId="184" fontId="3" fillId="3" borderId="0" xfId="5" applyNumberFormat="1" applyFont="1" applyFill="1" applyAlignment="1">
      <alignment horizontal="right"/>
    </xf>
    <xf numFmtId="49" fontId="5" fillId="3" borderId="0" xfId="5" applyNumberFormat="1" applyFont="1" applyFill="1" applyAlignment="1">
      <alignment horizontal="center"/>
    </xf>
    <xf numFmtId="170" fontId="7" fillId="6" borderId="0" xfId="5" applyNumberFormat="1" applyFont="1" applyFill="1"/>
    <xf numFmtId="185" fontId="11" fillId="0" borderId="0" xfId="5" applyNumberFormat="1" applyFont="1"/>
    <xf numFmtId="49" fontId="2" fillId="0" borderId="0" xfId="5" applyNumberFormat="1" applyFont="1"/>
    <xf numFmtId="176" fontId="2" fillId="0" borderId="0" xfId="5" applyNumberFormat="1" applyFont="1"/>
    <xf numFmtId="180" fontId="11" fillId="0" borderId="0" xfId="5" applyNumberFormat="1" applyFont="1"/>
    <xf numFmtId="175" fontId="13" fillId="0" borderId="0" xfId="5" applyNumberFormat="1" applyFont="1"/>
    <xf numFmtId="167" fontId="3" fillId="3" borderId="0" xfId="5" applyNumberFormat="1" applyFont="1" applyFill="1"/>
    <xf numFmtId="167" fontId="11" fillId="0" borderId="0" xfId="5" applyNumberFormat="1" applyFont="1"/>
    <xf numFmtId="176" fontId="3" fillId="3" borderId="0" xfId="5" applyNumberFormat="1" applyFont="1" applyFill="1"/>
    <xf numFmtId="175" fontId="2" fillId="0" borderId="0" xfId="5" applyNumberFormat="1" applyFont="1"/>
    <xf numFmtId="175" fontId="2" fillId="0" borderId="1" xfId="5" applyNumberFormat="1" applyFont="1" applyBorder="1"/>
    <xf numFmtId="175" fontId="2" fillId="0" borderId="2" xfId="5" applyNumberFormat="1" applyFont="1" applyBorder="1"/>
    <xf numFmtId="175" fontId="2" fillId="0" borderId="3" xfId="5" applyNumberFormat="1" applyFont="1" applyBorder="1"/>
    <xf numFmtId="166" fontId="11" fillId="0" borderId="0" xfId="5" applyNumberFormat="1" applyFont="1"/>
    <xf numFmtId="170" fontId="2" fillId="0" borderId="0" xfId="5" applyNumberFormat="1" applyFont="1"/>
    <xf numFmtId="175" fontId="2" fillId="0" borderId="4" xfId="5" applyNumberFormat="1" applyFont="1" applyBorder="1"/>
    <xf numFmtId="175" fontId="3" fillId="6" borderId="0" xfId="5" applyNumberFormat="1" applyFont="1" applyFill="1"/>
    <xf numFmtId="175" fontId="2" fillId="0" borderId="5" xfId="5" applyNumberFormat="1" applyFont="1" applyBorder="1"/>
    <xf numFmtId="175" fontId="2" fillId="0" borderId="6" xfId="5" applyNumberFormat="1" applyFont="1" applyBorder="1"/>
    <xf numFmtId="175" fontId="2" fillId="0" borderId="7" xfId="5" applyNumberFormat="1" applyFont="1" applyBorder="1"/>
    <xf numFmtId="175" fontId="2" fillId="0" borderId="8" xfId="5" applyNumberFormat="1" applyFont="1" applyBorder="1"/>
    <xf numFmtId="180" fontId="14" fillId="0" borderId="0" xfId="5" applyNumberFormat="1" applyFont="1"/>
    <xf numFmtId="186" fontId="2" fillId="0" borderId="0" xfId="5" applyNumberFormat="1" applyFont="1"/>
    <xf numFmtId="187" fontId="2" fillId="0" borderId="0" xfId="5" applyNumberFormat="1" applyFont="1"/>
    <xf numFmtId="188" fontId="2" fillId="0" borderId="0" xfId="5" applyNumberFormat="1" applyFont="1"/>
    <xf numFmtId="189" fontId="11" fillId="0" borderId="0" xfId="5" applyNumberFormat="1" applyFont="1"/>
    <xf numFmtId="49" fontId="3" fillId="0" borderId="2" xfId="5" applyNumberFormat="1" applyFont="1" applyBorder="1"/>
    <xf numFmtId="175" fontId="3" fillId="0" borderId="2" xfId="5" applyNumberFormat="1" applyFont="1" applyBorder="1"/>
    <xf numFmtId="0" fontId="7" fillId="0" borderId="0" xfId="5" applyFont="1"/>
    <xf numFmtId="176" fontId="11" fillId="0" borderId="0" xfId="5" applyNumberFormat="1" applyFont="1"/>
    <xf numFmtId="174" fontId="2" fillId="0" borderId="0" xfId="5" applyNumberFormat="1" applyFont="1"/>
    <xf numFmtId="190" fontId="2" fillId="0" borderId="0" xfId="5" applyNumberFormat="1" applyFont="1"/>
    <xf numFmtId="0" fontId="9" fillId="7" borderId="1" xfId="5" applyFont="1" applyFill="1" applyBorder="1"/>
    <xf numFmtId="0" fontId="15" fillId="7" borderId="2" xfId="5" applyFont="1" applyFill="1" applyBorder="1"/>
    <xf numFmtId="37" fontId="16" fillId="7" borderId="2" xfId="5" applyNumberFormat="1" applyFont="1" applyFill="1" applyBorder="1"/>
    <xf numFmtId="37" fontId="16" fillId="7" borderId="3" xfId="5" applyNumberFormat="1" applyFont="1" applyFill="1" applyBorder="1"/>
    <xf numFmtId="0" fontId="12" fillId="5" borderId="1" xfId="5" applyFont="1" applyFill="1" applyBorder="1"/>
    <xf numFmtId="176" fontId="7" fillId="5" borderId="2" xfId="5" applyNumberFormat="1" applyFont="1" applyFill="1" applyBorder="1"/>
    <xf numFmtId="189" fontId="12" fillId="5" borderId="2" xfId="5" applyNumberFormat="1" applyFont="1" applyFill="1" applyBorder="1"/>
    <xf numFmtId="176" fontId="12" fillId="5" borderId="2" xfId="5" applyNumberFormat="1" applyFont="1" applyFill="1" applyBorder="1"/>
    <xf numFmtId="176" fontId="12" fillId="5" borderId="3" xfId="5" applyNumberFormat="1" applyFont="1" applyFill="1" applyBorder="1"/>
    <xf numFmtId="0" fontId="12" fillId="5" borderId="4" xfId="5" applyFont="1" applyFill="1" applyBorder="1"/>
    <xf numFmtId="167" fontId="7" fillId="5" borderId="0" xfId="5" applyNumberFormat="1" applyFont="1" applyFill="1"/>
    <xf numFmtId="189" fontId="12" fillId="5" borderId="0" xfId="5" applyNumberFormat="1" applyFont="1" applyFill="1"/>
    <xf numFmtId="189" fontId="12" fillId="5" borderId="5" xfId="5" applyNumberFormat="1" applyFont="1" applyFill="1" applyBorder="1"/>
    <xf numFmtId="174" fontId="7" fillId="5" borderId="0" xfId="5" applyNumberFormat="1" applyFont="1" applyFill="1"/>
    <xf numFmtId="0" fontId="12" fillId="5" borderId="6" xfId="5" applyFont="1" applyFill="1" applyBorder="1"/>
    <xf numFmtId="170" fontId="7" fillId="5" borderId="7" xfId="5" applyNumberFormat="1" applyFont="1" applyFill="1" applyBorder="1"/>
    <xf numFmtId="189" fontId="12" fillId="5" borderId="7" xfId="5" applyNumberFormat="1" applyFont="1" applyFill="1" applyBorder="1"/>
    <xf numFmtId="189" fontId="12" fillId="5" borderId="8" xfId="5" applyNumberFormat="1" applyFont="1" applyFill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176" fontId="19" fillId="0" borderId="0" xfId="0" applyNumberFormat="1" applyFont="1"/>
    <xf numFmtId="0" fontId="20" fillId="4" borderId="2" xfId="0" applyFont="1" applyFill="1" applyBorder="1" applyAlignment="1">
      <alignment horizontal="center"/>
    </xf>
    <xf numFmtId="0" fontId="21" fillId="0" borderId="0" xfId="0" applyFont="1"/>
    <xf numFmtId="0" fontId="20" fillId="4" borderId="0" xfId="0" applyFont="1" applyFill="1" applyAlignment="1">
      <alignment horizontal="center"/>
    </xf>
    <xf numFmtId="176" fontId="22" fillId="6" borderId="0" xfId="3" applyNumberFormat="1" applyFont="1" applyFill="1"/>
    <xf numFmtId="170" fontId="22" fillId="6" borderId="0" xfId="0" applyNumberFormat="1" applyFont="1" applyFill="1"/>
    <xf numFmtId="0" fontId="0" fillId="3" borderId="0" xfId="0" applyFill="1"/>
    <xf numFmtId="0" fontId="21" fillId="3" borderId="0" xfId="0" applyFont="1" applyFill="1"/>
    <xf numFmtId="191" fontId="23" fillId="0" borderId="0" xfId="2" applyNumberFormat="1"/>
    <xf numFmtId="0" fontId="21" fillId="0" borderId="0" xfId="0" applyFont="1" applyAlignment="1">
      <alignment horizontal="right"/>
    </xf>
    <xf numFmtId="0" fontId="21" fillId="5" borderId="9" xfId="0" applyFont="1" applyFill="1" applyBorder="1"/>
    <xf numFmtId="166" fontId="21" fillId="5" borderId="10" xfId="0" applyNumberFormat="1" applyFont="1" applyFill="1" applyBorder="1"/>
    <xf numFmtId="191" fontId="21" fillId="5" borderId="11" xfId="0" applyNumberFormat="1" applyFont="1" applyFill="1" applyBorder="1"/>
    <xf numFmtId="0" fontId="21" fillId="3" borderId="0" xfId="0" applyFont="1" applyFill="1" applyAlignment="1">
      <alignment horizontal="left"/>
    </xf>
    <xf numFmtId="175" fontId="23" fillId="0" borderId="0" xfId="2" applyNumberFormat="1"/>
    <xf numFmtId="176" fontId="23" fillId="0" borderId="0" xfId="3" applyNumberFormat="1"/>
    <xf numFmtId="0" fontId="21" fillId="0" borderId="2" xfId="0" applyFont="1" applyBorder="1" applyAlignment="1">
      <alignment horizontal="right"/>
    </xf>
    <xf numFmtId="175" fontId="21" fillId="0" borderId="2" xfId="2" applyNumberFormat="1" applyFont="1" applyBorder="1"/>
    <xf numFmtId="176" fontId="21" fillId="0" borderId="2" xfId="3" applyNumberFormat="1" applyFont="1" applyBorder="1"/>
    <xf numFmtId="166" fontId="24" fillId="0" borderId="0" xfId="5" applyNumberFormat="1" applyFont="1"/>
    <xf numFmtId="166" fontId="25" fillId="0" borderId="0" xfId="5" applyNumberFormat="1" applyFont="1"/>
    <xf numFmtId="181" fontId="7" fillId="5" borderId="2" xfId="5" applyNumberFormat="1" applyFont="1" applyFill="1" applyBorder="1" applyAlignment="1">
      <alignment horizontal="right"/>
    </xf>
    <xf numFmtId="181" fontId="7" fillId="5" borderId="0" xfId="5" applyNumberFormat="1" applyFont="1" applyFill="1" applyAlignment="1">
      <alignment horizontal="right"/>
    </xf>
    <xf numFmtId="0" fontId="4" fillId="0" borderId="0" xfId="4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00000000-0005-0000-0000-000006000000}"/>
    <cellStyle name="Percent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95959"/>
      <rgbColor rgb="FF9999FF"/>
      <rgbColor rgb="FF993366"/>
      <rgbColor rgb="FFFFFFCC"/>
      <rgbColor rgb="FFDCEA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1E5F5"/>
      <rgbColor rgb="FFD9F2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2060"/>
      <rgbColor rgb="FF3B7D23"/>
      <rgbColor rgb="FF0E2841"/>
      <rgbColor rgb="FF333300"/>
      <rgbColor rgb="FF993300"/>
      <rgbColor rgb="FF993366"/>
      <rgbColor rgb="FF1F3864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1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400" b="1" strike="noStrike" spc="-1">
                <a:solidFill>
                  <a:srgbClr val="595959"/>
                </a:solidFill>
                <a:latin typeface="Aptos Narrow"/>
              </a:rPr>
              <a:t>Football Field ($ Millions)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'Football Field'!$C$2</c:f>
              <c:strCache>
                <c:ptCount val="1"/>
                <c:pt idx="0">
                  <c:v>Low ($M)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1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'Football Field'!$B$3:$B$5</c:f>
              <c:strCache>
                <c:ptCount val="3"/>
                <c:pt idx="0">
                  <c:v>Comps (EV/Revenue)</c:v>
                </c:pt>
                <c:pt idx="1">
                  <c:v>Transactions (EV/Revenue)</c:v>
                </c:pt>
                <c:pt idx="2">
                  <c:v>DCF (EV/EBITDA)</c:v>
                </c:pt>
              </c:strCache>
            </c:strRef>
          </c:cat>
          <c:val>
            <c:numRef>
              <c:f>'Football Field'!$C$3:$C$5</c:f>
              <c:numCache>
                <c:formatCode>\$#,##0</c:formatCode>
                <c:ptCount val="3"/>
                <c:pt idx="0">
                  <c:v>223.73405039825491</c:v>
                </c:pt>
                <c:pt idx="1">
                  <c:v>558.49103204939092</c:v>
                </c:pt>
                <c:pt idx="2">
                  <c:v>281.39468619214472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1-4F40-9351-4291C69AEBD5}"/>
            </c:ext>
          </c:extLst>
        </c:ser>
        <c:ser>
          <c:idx val="1"/>
          <c:order val="1"/>
          <c:tx>
            <c:strRef>
              <c:f>'Football Field'!$F$2</c:f>
              <c:strCache>
                <c:ptCount val="1"/>
                <c:pt idx="0">
                  <c:v>Enterprise Value Range</c:v>
                </c:pt>
              </c:strCache>
            </c:strRef>
          </c:tx>
          <c:spPr>
            <a:solidFill>
              <a:srgbClr val="00206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'Football Field'!$B$3:$B$5</c:f>
              <c:strCache>
                <c:ptCount val="3"/>
                <c:pt idx="0">
                  <c:v>Comps (EV/Revenue)</c:v>
                </c:pt>
                <c:pt idx="1">
                  <c:v>Transactions (EV/Revenue)</c:v>
                </c:pt>
                <c:pt idx="2">
                  <c:v>DCF (EV/EBITDA)</c:v>
                </c:pt>
              </c:strCache>
            </c:strRef>
          </c:cat>
          <c:val>
            <c:numRef>
              <c:f>'Football Field'!$F$3:$F$5</c:f>
              <c:numCache>
                <c:formatCode>\$#,##0</c:formatCode>
                <c:ptCount val="3"/>
                <c:pt idx="0">
                  <c:v>111.8670251991274</c:v>
                </c:pt>
                <c:pt idx="1">
                  <c:v>279.24551602469546</c:v>
                </c:pt>
                <c:pt idx="2">
                  <c:v>140.69734309607236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41-4F40-9351-4291C69AEBD5}"/>
            </c:ext>
          </c:extLst>
        </c:ser>
        <c:ser>
          <c:idx val="2"/>
          <c:order val="2"/>
          <c:tx>
            <c:strRef>
              <c:f>'Football Field'!$E$2</c:f>
              <c:strCache>
                <c:ptCount val="1"/>
                <c:pt idx="0">
                  <c:v>High ($M)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1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'Football Field'!$B$3:$B$5</c:f>
              <c:strCache>
                <c:ptCount val="3"/>
                <c:pt idx="0">
                  <c:v>Comps (EV/Revenue)</c:v>
                </c:pt>
                <c:pt idx="1">
                  <c:v>Transactions (EV/Revenue)</c:v>
                </c:pt>
                <c:pt idx="2">
                  <c:v>DCF (EV/EBITDA)</c:v>
                </c:pt>
              </c:strCache>
            </c:strRef>
          </c:cat>
          <c:val>
            <c:numRef>
              <c:f>'Football Field'!$E$3:$E$5</c:f>
              <c:numCache>
                <c:formatCode>\$#,##0</c:formatCode>
                <c:ptCount val="3"/>
                <c:pt idx="0">
                  <c:v>335.60107559738231</c:v>
                </c:pt>
                <c:pt idx="1">
                  <c:v>837.73654807408639</c:v>
                </c:pt>
                <c:pt idx="2">
                  <c:v>422.09202928821708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41-4F40-9351-4291C69A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1462"/>
        <c:axId val="45551534"/>
      </c:barChart>
      <c:catAx>
        <c:axId val="356146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5551534"/>
        <c:crosses val="autoZero"/>
        <c:auto val="1"/>
        <c:lblAlgn val="ctr"/>
        <c:lblOffset val="100"/>
        <c:noMultiLvlLbl val="0"/>
      </c:catAx>
      <c:valAx>
        <c:axId val="45551534"/>
        <c:scaling>
          <c:orientation val="minMax"/>
          <c:max val="2000"/>
          <c:min val="0"/>
        </c:scaling>
        <c:delete val="0"/>
        <c:axPos val="b"/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3561462"/>
        <c:crosses val="autoZero"/>
        <c:crossBetween val="between"/>
        <c:majorUnit val="500"/>
      </c:valAx>
      <c:spPr>
        <a:noFill/>
        <a:ln w="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942840</xdr:colOff>
      <xdr:row>9</xdr:row>
      <xdr:rowOff>87480</xdr:rowOff>
    </xdr:from>
    <xdr:to>
      <xdr:col>7</xdr:col>
      <xdr:colOff>5760</xdr:colOff>
      <xdr:row>28</xdr:row>
      <xdr:rowOff>53640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rio3martinez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F2D0"/>
  </sheetPr>
  <dimension ref="B2:F12"/>
  <sheetViews>
    <sheetView showGridLines="0" tabSelected="1" zoomScaleNormal="100" workbookViewId="0"/>
  </sheetViews>
  <sheetFormatPr defaultColWidth="8.54296875" defaultRowHeight="14.5" x14ac:dyDescent="0.35"/>
  <cols>
    <col min="2" max="2" width="12.54296875" customWidth="1"/>
    <col min="3" max="3" width="23.6328125" customWidth="1"/>
  </cols>
  <sheetData>
    <row r="2" spans="2:6" x14ac:dyDescent="0.35">
      <c r="B2" s="6"/>
      <c r="C2" s="6"/>
      <c r="D2" s="7"/>
      <c r="E2" s="7"/>
      <c r="F2" s="7"/>
    </row>
    <row r="3" spans="2:6" x14ac:dyDescent="0.35">
      <c r="B3" s="8" t="s">
        <v>0</v>
      </c>
      <c r="C3" s="8" t="s">
        <v>1</v>
      </c>
      <c r="D3" s="7"/>
      <c r="E3" s="7"/>
      <c r="F3" s="7"/>
    </row>
    <row r="4" spans="2:6" x14ac:dyDescent="0.35">
      <c r="B4" s="7" t="s">
        <v>2</v>
      </c>
      <c r="C4" s="179" t="s">
        <v>233</v>
      </c>
      <c r="D4" s="7"/>
      <c r="E4" s="7"/>
      <c r="F4" s="7"/>
    </row>
    <row r="5" spans="2:6" x14ac:dyDescent="0.35">
      <c r="B5" s="7"/>
      <c r="C5" s="7"/>
      <c r="D5" s="7"/>
      <c r="E5" s="7"/>
      <c r="F5" s="7"/>
    </row>
    <row r="6" spans="2:6" x14ac:dyDescent="0.35">
      <c r="B6" s="7"/>
      <c r="C6" s="7"/>
      <c r="D6" s="7"/>
      <c r="E6" s="7"/>
      <c r="F6" s="7"/>
    </row>
    <row r="7" spans="2:6" x14ac:dyDescent="0.35">
      <c r="B7" s="7"/>
      <c r="C7" s="7"/>
      <c r="D7" s="7"/>
      <c r="E7" s="7"/>
      <c r="F7" s="7"/>
    </row>
    <row r="8" spans="2:6" x14ac:dyDescent="0.35">
      <c r="B8" s="7"/>
      <c r="C8" s="7"/>
      <c r="D8" s="7"/>
      <c r="E8" s="7"/>
      <c r="F8" s="7"/>
    </row>
    <row r="9" spans="2:6" x14ac:dyDescent="0.35">
      <c r="B9" s="7"/>
      <c r="C9" s="7"/>
      <c r="D9" s="7"/>
      <c r="E9" s="7"/>
      <c r="F9" s="7"/>
    </row>
    <row r="10" spans="2:6" x14ac:dyDescent="0.35">
      <c r="B10" s="7"/>
      <c r="C10" s="7"/>
      <c r="D10" s="7"/>
      <c r="E10" s="7"/>
      <c r="F10" s="7"/>
    </row>
    <row r="11" spans="2:6" x14ac:dyDescent="0.35">
      <c r="B11" s="7"/>
      <c r="C11" s="7"/>
      <c r="D11" s="7"/>
      <c r="E11" s="7"/>
      <c r="F11" s="7"/>
    </row>
    <row r="12" spans="2:6" x14ac:dyDescent="0.35">
      <c r="B12" s="7"/>
      <c r="C12" s="7"/>
      <c r="D12" s="7"/>
      <c r="E12" s="7"/>
      <c r="F12" s="7"/>
    </row>
  </sheetData>
  <hyperlinks>
    <hyperlink ref="C4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1E5F5"/>
  </sheetPr>
  <dimension ref="B1:D8"/>
  <sheetViews>
    <sheetView showGridLines="0" zoomScaleNormal="100" workbookViewId="0"/>
  </sheetViews>
  <sheetFormatPr defaultColWidth="8.54296875" defaultRowHeight="14.5" x14ac:dyDescent="0.35"/>
  <cols>
    <col min="1" max="1" width="2.6328125" customWidth="1"/>
    <col min="2" max="2" width="16.08984375" customWidth="1"/>
    <col min="3" max="3" width="11" customWidth="1"/>
    <col min="4" max="4" width="9.453125" customWidth="1"/>
  </cols>
  <sheetData>
    <row r="1" spans="2:4" x14ac:dyDescent="0.35">
      <c r="B1" s="157"/>
      <c r="C1" s="157"/>
      <c r="D1" s="157"/>
    </row>
    <row r="2" spans="2:4" x14ac:dyDescent="0.35">
      <c r="B2" s="169" t="s">
        <v>226</v>
      </c>
      <c r="C2" s="169" t="s">
        <v>227</v>
      </c>
      <c r="D2" s="169" t="s">
        <v>228</v>
      </c>
    </row>
    <row r="3" spans="2:4" ht="4.5" customHeight="1" x14ac:dyDescent="0.35"/>
    <row r="4" spans="2:4" x14ac:dyDescent="0.35">
      <c r="B4" t="s">
        <v>229</v>
      </c>
      <c r="C4" s="170">
        <f>'Comparable Companies'!C20</f>
        <v>4.1208910585094278</v>
      </c>
      <c r="D4" s="171">
        <v>0.5</v>
      </c>
    </row>
    <row r="5" spans="2:4" x14ac:dyDescent="0.35">
      <c r="B5" t="s">
        <v>230</v>
      </c>
      <c r="C5" s="170">
        <f>'Precedent Transactions'!C22</f>
        <v>13.54535563202114</v>
      </c>
      <c r="D5" s="171">
        <v>0</v>
      </c>
    </row>
    <row r="6" spans="2:4" x14ac:dyDescent="0.35">
      <c r="B6" t="s">
        <v>231</v>
      </c>
      <c r="C6" s="170">
        <f>DCF!J23</f>
        <v>5.744219768922993</v>
      </c>
      <c r="D6" s="171">
        <v>0.5</v>
      </c>
    </row>
    <row r="7" spans="2:4" ht="4.5" customHeight="1" x14ac:dyDescent="0.35"/>
    <row r="8" spans="2:4" x14ac:dyDescent="0.35">
      <c r="B8" s="172" t="s">
        <v>232</v>
      </c>
      <c r="C8" s="173">
        <f>SUMPRODUCT(C4:C6,D4:D6)</f>
        <v>4.9325554137162104</v>
      </c>
      <c r="D8" s="174">
        <f>SUM(D4:D6)</f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CEAF7"/>
  </sheetPr>
  <dimension ref="A1"/>
  <sheetViews>
    <sheetView showGridLines="0" zoomScaleNormal="100" workbookViewId="0"/>
  </sheetViews>
  <sheetFormatPr defaultColWidth="8.54296875" defaultRowHeight="14.5" x14ac:dyDescent="0.3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1E5F5"/>
  </sheetPr>
  <dimension ref="A1:N37"/>
  <sheetViews>
    <sheetView showGridLines="0" zoomScaleNormal="100" workbookViewId="0"/>
  </sheetViews>
  <sheetFormatPr defaultColWidth="8.54296875" defaultRowHeight="14.5" x14ac:dyDescent="0.35"/>
  <cols>
    <col min="1" max="1" width="2.6328125" customWidth="1"/>
    <col min="2" max="2" width="36.90625" customWidth="1"/>
    <col min="3" max="3" width="17.1796875" customWidth="1"/>
    <col min="4" max="4" width="15.08984375" customWidth="1"/>
    <col min="5" max="5" width="15.90625" customWidth="1"/>
    <col min="6" max="6" width="14.7265625" customWidth="1"/>
    <col min="7" max="8" width="16.54296875" customWidth="1"/>
    <col min="9" max="9" width="19.36328125" customWidth="1"/>
    <col min="10" max="11" width="16.54296875" customWidth="1"/>
    <col min="12" max="12" width="9.54296875" customWidth="1"/>
  </cols>
  <sheetData>
    <row r="1" spans="1:14" x14ac:dyDescent="0.35">
      <c r="A1" s="7"/>
      <c r="B1" s="9" t="s">
        <v>3</v>
      </c>
      <c r="C1" s="9"/>
      <c r="D1" s="9"/>
      <c r="E1" s="9"/>
      <c r="F1" s="9"/>
      <c r="G1" s="9"/>
      <c r="H1" s="9"/>
      <c r="I1" s="9"/>
      <c r="J1" s="9"/>
      <c r="K1" s="9"/>
      <c r="L1" s="7"/>
      <c r="M1" s="7"/>
      <c r="N1" s="7"/>
    </row>
    <row r="2" spans="1:14" x14ac:dyDescent="0.35">
      <c r="A2" s="7"/>
      <c r="B2" s="10"/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7"/>
      <c r="M2" s="7"/>
      <c r="N2" s="7"/>
    </row>
    <row r="3" spans="1:14" x14ac:dyDescent="0.35">
      <c r="A3" s="7"/>
      <c r="B3" s="12" t="str">
        <f t="shared" ref="B3:C6" si="0">B26</f>
        <v>Clearwater Analytics</v>
      </c>
      <c r="C3" s="13" t="str">
        <f t="shared" si="0"/>
        <v>Warburg Pincus</v>
      </c>
      <c r="D3" s="14">
        <v>46012</v>
      </c>
      <c r="E3" s="15">
        <f>K26</f>
        <v>7892.9</v>
      </c>
      <c r="F3" s="16">
        <f>J26/D26</f>
        <v>10.855619360131255</v>
      </c>
      <c r="G3" s="16">
        <f>J26/E26</f>
        <v>8.4045728802794528</v>
      </c>
      <c r="H3" s="16">
        <f>J26/F26</f>
        <v>23.958358479179243</v>
      </c>
      <c r="I3" s="16">
        <f>J26/G26</f>
        <v>19.322949622779266</v>
      </c>
      <c r="J3" s="17">
        <f t="shared" ref="J3:K6" si="1">H26</f>
        <v>0.35079919551180266</v>
      </c>
      <c r="K3" s="17">
        <f t="shared" si="1"/>
        <v>0.61899999999999999</v>
      </c>
      <c r="L3" s="7"/>
      <c r="M3" s="7"/>
      <c r="N3" s="7"/>
    </row>
    <row r="4" spans="1:14" x14ac:dyDescent="0.35">
      <c r="A4" s="7"/>
      <c r="B4" s="12" t="str">
        <f t="shared" si="0"/>
        <v>Informatica</v>
      </c>
      <c r="C4" s="13" t="str">
        <f t="shared" si="0"/>
        <v>Salesforce</v>
      </c>
      <c r="D4" s="14">
        <v>45979</v>
      </c>
      <c r="E4" s="15">
        <f>K27</f>
        <v>8148.22</v>
      </c>
      <c r="F4" s="16">
        <f>J27/D27</f>
        <v>4.7769702746172635</v>
      </c>
      <c r="G4" s="16">
        <f>J27/E27</f>
        <v>4.698324349660183</v>
      </c>
      <c r="H4" s="16">
        <f>J27/F27</f>
        <v>13.914801318757593</v>
      </c>
      <c r="I4" s="16">
        <f>J27/G27</f>
        <v>13.1031045751634</v>
      </c>
      <c r="J4" s="17">
        <f t="shared" si="1"/>
        <v>0.33764940239043822</v>
      </c>
      <c r="K4" s="17">
        <f t="shared" si="1"/>
        <v>1.2999999999999999E-2</v>
      </c>
      <c r="L4" s="7"/>
      <c r="M4" s="7"/>
      <c r="N4" s="7"/>
    </row>
    <row r="5" spans="1:14" x14ac:dyDescent="0.35">
      <c r="A5" s="7"/>
      <c r="B5" s="12" t="str">
        <f t="shared" si="0"/>
        <v>Alteryx</v>
      </c>
      <c r="C5" s="13" t="str">
        <f t="shared" si="0"/>
        <v>Insight/Clearlake</v>
      </c>
      <c r="D5" s="14">
        <v>45370</v>
      </c>
      <c r="E5" s="15">
        <f>K28</f>
        <v>4114.42</v>
      </c>
      <c r="F5" s="16">
        <f>J28/D28</f>
        <v>4.1123711340206182</v>
      </c>
      <c r="G5" s="16">
        <f>J28/E28</f>
        <v>3.7010577101503062</v>
      </c>
      <c r="H5" s="16">
        <f>J28/F28</f>
        <v>22.161111111111111</v>
      </c>
      <c r="I5" s="16">
        <f>J28/G28</f>
        <v>16.902542372881356</v>
      </c>
      <c r="J5" s="17">
        <f t="shared" si="1"/>
        <v>0.16700686583781779</v>
      </c>
      <c r="K5" s="17">
        <f t="shared" si="1"/>
        <v>0.13400000000000001</v>
      </c>
      <c r="L5" s="7"/>
      <c r="M5" s="7"/>
      <c r="N5" s="7"/>
    </row>
    <row r="6" spans="1:14" x14ac:dyDescent="0.35">
      <c r="A6" s="7"/>
      <c r="B6" s="12" t="str">
        <f t="shared" si="0"/>
        <v>WalkMe</v>
      </c>
      <c r="C6" s="13" t="str">
        <f t="shared" si="0"/>
        <v>SAP</v>
      </c>
      <c r="D6" s="14">
        <v>45548</v>
      </c>
      <c r="E6" s="15">
        <f>K29</f>
        <v>967.18</v>
      </c>
      <c r="F6" s="16">
        <f>J29/D29</f>
        <v>3.9194139194139193</v>
      </c>
      <c r="G6" s="16">
        <f>J29/E29</f>
        <v>3.8010657193605684</v>
      </c>
      <c r="H6" s="16">
        <f>J29/F29</f>
        <v>48.198198198198199</v>
      </c>
      <c r="I6" s="16">
        <f>J29/G29</f>
        <v>33.968253968253968</v>
      </c>
      <c r="J6" s="17">
        <f t="shared" si="1"/>
        <v>7.8863232682060386E-2</v>
      </c>
      <c r="K6" s="17">
        <f t="shared" si="1"/>
        <v>5.0999999999999997E-2</v>
      </c>
      <c r="L6" s="7"/>
      <c r="M6" s="7"/>
      <c r="N6" s="7"/>
    </row>
    <row r="7" spans="1:14" ht="4.5" customHeight="1" x14ac:dyDescent="0.35">
      <c r="A7" s="7"/>
      <c r="B7" s="12"/>
      <c r="C7" s="13"/>
      <c r="D7" s="14"/>
      <c r="E7" s="18"/>
      <c r="F7" s="16"/>
      <c r="G7" s="16"/>
      <c r="H7" s="16"/>
      <c r="I7" s="16"/>
      <c r="J7" s="17"/>
      <c r="K7" s="17"/>
      <c r="L7" s="7"/>
      <c r="M7" s="7"/>
      <c r="N7" s="7"/>
    </row>
    <row r="8" spans="1:14" x14ac:dyDescent="0.35">
      <c r="A8" s="7"/>
      <c r="B8" s="19" t="s">
        <v>13</v>
      </c>
      <c r="C8" s="20"/>
      <c r="D8" s="20"/>
      <c r="E8" s="21">
        <f t="shared" ref="E8:K8" si="2">MEDIAN(E3:E6)</f>
        <v>6003.66</v>
      </c>
      <c r="F8" s="22">
        <f t="shared" si="2"/>
        <v>4.4446707043189413</v>
      </c>
      <c r="G8" s="22">
        <f t="shared" si="2"/>
        <v>4.2496950345103759</v>
      </c>
      <c r="H8" s="22">
        <f t="shared" si="2"/>
        <v>23.059734795145175</v>
      </c>
      <c r="I8" s="22">
        <f t="shared" si="2"/>
        <v>18.112745997830309</v>
      </c>
      <c r="J8" s="23">
        <f t="shared" si="2"/>
        <v>0.25232813411412802</v>
      </c>
      <c r="K8" s="24">
        <f t="shared" si="2"/>
        <v>9.2499999999999999E-2</v>
      </c>
      <c r="L8" s="7"/>
      <c r="M8" s="7"/>
      <c r="N8" s="7"/>
    </row>
    <row r="9" spans="1:14" x14ac:dyDescent="0.35">
      <c r="A9" s="7"/>
      <c r="B9" s="25" t="s">
        <v>14</v>
      </c>
      <c r="C9" s="26"/>
      <c r="D9" s="26"/>
      <c r="E9" s="27">
        <f t="shared" ref="E9:K9" si="3">PERCENTILE(E4:E6,0.25)</f>
        <v>2540.8000000000002</v>
      </c>
      <c r="F9" s="28">
        <f t="shared" si="3"/>
        <v>4.0158925267172689</v>
      </c>
      <c r="G9" s="28">
        <f t="shared" si="3"/>
        <v>3.751061714755437</v>
      </c>
      <c r="H9" s="28">
        <f t="shared" si="3"/>
        <v>18.037956214934354</v>
      </c>
      <c r="I9" s="28">
        <f t="shared" si="3"/>
        <v>15.002823474022378</v>
      </c>
      <c r="J9" s="29">
        <f t="shared" si="3"/>
        <v>0.12293504925993909</v>
      </c>
      <c r="K9" s="30">
        <f t="shared" si="3"/>
        <v>3.2000000000000001E-2</v>
      </c>
      <c r="L9" s="7"/>
      <c r="M9" s="7"/>
      <c r="N9" s="7"/>
    </row>
    <row r="10" spans="1:14" ht="4.5" customHeight="1" x14ac:dyDescent="0.35">
      <c r="A10" s="7"/>
      <c r="B10" s="31"/>
      <c r="C10" s="7"/>
      <c r="D10" s="7"/>
      <c r="E10" s="7"/>
      <c r="F10" s="7"/>
      <c r="G10" s="7"/>
      <c r="H10" s="32"/>
      <c r="I10" s="32"/>
      <c r="J10" s="32"/>
      <c r="K10" s="32"/>
      <c r="L10" s="33"/>
      <c r="M10" s="7"/>
      <c r="N10" s="7"/>
    </row>
    <row r="11" spans="1:14" x14ac:dyDescent="0.35">
      <c r="A11" s="7"/>
      <c r="B11" s="31" t="s">
        <v>15</v>
      </c>
      <c r="C11" s="34">
        <v>1000000</v>
      </c>
      <c r="D11" s="32"/>
      <c r="E11" s="32"/>
      <c r="F11" s="7"/>
      <c r="G11" s="7"/>
      <c r="H11" s="32"/>
      <c r="I11" s="32"/>
      <c r="J11" s="32"/>
      <c r="K11" s="32"/>
      <c r="L11" s="33"/>
      <c r="M11" s="7"/>
      <c r="N11" s="7"/>
    </row>
    <row r="12" spans="1:14" ht="4.5" customHeight="1" x14ac:dyDescent="0.35">
      <c r="A12" s="7"/>
      <c r="B12" s="31"/>
      <c r="C12" s="7"/>
      <c r="D12" s="7"/>
      <c r="E12" s="7"/>
      <c r="F12" s="7"/>
      <c r="G12" s="7"/>
      <c r="H12" s="32"/>
      <c r="I12" s="32"/>
      <c r="J12" s="32"/>
      <c r="K12" s="32"/>
      <c r="L12" s="33"/>
      <c r="M12" s="7"/>
      <c r="N12" s="7"/>
    </row>
    <row r="13" spans="1:14" x14ac:dyDescent="0.35">
      <c r="A13" s="7"/>
      <c r="B13" s="9" t="s">
        <v>16</v>
      </c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5">
      <c r="A14" s="7"/>
      <c r="B14" s="10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5">
      <c r="A15" s="7"/>
      <c r="B15" s="7" t="s">
        <v>17</v>
      </c>
      <c r="C15" s="15">
        <f>((F9*IS!E6)*$C$11)</f>
        <v>1280668126.7701368</v>
      </c>
      <c r="D15" s="18"/>
      <c r="E15" s="18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5">
      <c r="A16" s="7"/>
      <c r="B16" s="7" t="s">
        <v>18</v>
      </c>
      <c r="C16" s="15">
        <f>((I9*IS!G19)*$C$11)</f>
        <v>115559453.35334037</v>
      </c>
      <c r="D16" s="18"/>
      <c r="E16" s="18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5">
      <c r="A17" s="7"/>
      <c r="B17" s="7" t="s">
        <v>19</v>
      </c>
      <c r="C17" s="15">
        <f>AVERAGE(C15:C16)</f>
        <v>698113790.06173861</v>
      </c>
      <c r="D17" s="18"/>
      <c r="E17" s="18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5">
      <c r="A18" s="7"/>
      <c r="B18" s="7" t="s">
        <v>20</v>
      </c>
      <c r="C18" s="15">
        <f>DCF!C37</f>
        <v>-96700000</v>
      </c>
      <c r="D18" s="18"/>
      <c r="E18" s="18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5">
      <c r="A19" s="7"/>
      <c r="B19" s="7" t="s">
        <v>21</v>
      </c>
      <c r="C19" s="15">
        <f>SUM(C17:C18)</f>
        <v>601413790.06173861</v>
      </c>
      <c r="D19" s="18"/>
      <c r="E19" s="18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35">
      <c r="A20" s="7"/>
      <c r="B20" s="7" t="s">
        <v>22</v>
      </c>
      <c r="C20" s="35">
        <f>DCF!C38</f>
        <v>44400000</v>
      </c>
      <c r="D20" s="36"/>
      <c r="E20" s="36"/>
      <c r="F20" s="7"/>
      <c r="G20" s="7"/>
      <c r="H20" s="7"/>
      <c r="I20" s="7"/>
      <c r="J20" s="7"/>
      <c r="K20" s="7"/>
      <c r="L20" s="7"/>
      <c r="M20" s="7"/>
      <c r="N20" s="7"/>
    </row>
    <row r="21" spans="1:14" ht="4.5" customHeight="1" x14ac:dyDescent="0.35">
      <c r="A21" s="7"/>
      <c r="B21" s="7"/>
      <c r="C21" s="35"/>
      <c r="D21" s="36"/>
      <c r="E21" s="36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35">
      <c r="A22" s="7"/>
      <c r="B22" s="37" t="s">
        <v>23</v>
      </c>
      <c r="C22" s="38">
        <f>C19/C20</f>
        <v>13.54535563202114</v>
      </c>
      <c r="D22" s="39"/>
      <c r="E22" s="39"/>
      <c r="F22" s="7"/>
      <c r="G22" s="7"/>
      <c r="H22" s="7"/>
      <c r="I22" s="7"/>
      <c r="J22" s="7"/>
      <c r="K22" s="7"/>
      <c r="L22" s="7"/>
      <c r="M22" s="7"/>
      <c r="N22" s="7"/>
    </row>
    <row r="23" spans="1:14" ht="4.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5">
      <c r="A24" s="7"/>
      <c r="B24" s="9" t="s">
        <v>3</v>
      </c>
      <c r="C24" s="9"/>
      <c r="D24" s="9"/>
      <c r="E24" s="9"/>
      <c r="F24" s="9"/>
      <c r="G24" s="9"/>
      <c r="H24" s="9"/>
      <c r="I24" s="9"/>
      <c r="J24" s="9"/>
      <c r="K24" s="9"/>
      <c r="L24" s="7"/>
      <c r="M24" s="7"/>
    </row>
    <row r="25" spans="1:14" x14ac:dyDescent="0.35">
      <c r="A25" s="7"/>
      <c r="B25" s="10"/>
      <c r="C25" s="11" t="s">
        <v>4</v>
      </c>
      <c r="D25" s="11" t="s">
        <v>24</v>
      </c>
      <c r="E25" s="11" t="s">
        <v>25</v>
      </c>
      <c r="F25" s="11" t="s">
        <v>26</v>
      </c>
      <c r="G25" s="11" t="s">
        <v>27</v>
      </c>
      <c r="H25" s="11" t="s">
        <v>11</v>
      </c>
      <c r="I25" s="11" t="s">
        <v>28</v>
      </c>
      <c r="J25" s="11" t="s">
        <v>29</v>
      </c>
      <c r="K25" s="11" t="s">
        <v>6</v>
      </c>
      <c r="L25" s="7"/>
      <c r="M25" s="7"/>
    </row>
    <row r="26" spans="1:14" x14ac:dyDescent="0.35">
      <c r="A26" s="7"/>
      <c r="B26" s="12" t="s">
        <v>30</v>
      </c>
      <c r="C26" s="18" t="s">
        <v>31</v>
      </c>
      <c r="D26" s="15">
        <v>731.4</v>
      </c>
      <c r="E26" s="15">
        <v>944.7</v>
      </c>
      <c r="F26" s="15">
        <v>331.4</v>
      </c>
      <c r="G26" s="15">
        <v>410.9</v>
      </c>
      <c r="H26" s="17">
        <f>F26/E26</f>
        <v>0.35079919551180266</v>
      </c>
      <c r="I26" s="40">
        <v>0.61899999999999999</v>
      </c>
      <c r="J26" s="15">
        <v>7939.8</v>
      </c>
      <c r="K26" s="15">
        <v>7892.9</v>
      </c>
      <c r="L26" s="7"/>
      <c r="M26" s="7"/>
    </row>
    <row r="27" spans="1:14" x14ac:dyDescent="0.35">
      <c r="A27" s="7"/>
      <c r="B27" s="12" t="s">
        <v>32</v>
      </c>
      <c r="C27" s="18" t="s">
        <v>33</v>
      </c>
      <c r="D27" s="15">
        <v>1678.7</v>
      </c>
      <c r="E27" s="15">
        <v>1706.8</v>
      </c>
      <c r="F27" s="15">
        <v>576.29999999999995</v>
      </c>
      <c r="G27" s="15">
        <v>612</v>
      </c>
      <c r="H27" s="17">
        <f>F27/E27</f>
        <v>0.33764940239043822</v>
      </c>
      <c r="I27" s="40">
        <v>1.2999999999999999E-2</v>
      </c>
      <c r="J27" s="15">
        <v>8019.1</v>
      </c>
      <c r="K27" s="15">
        <v>8148.22</v>
      </c>
      <c r="L27" s="7"/>
      <c r="M27" s="7"/>
    </row>
    <row r="28" spans="1:14" x14ac:dyDescent="0.35">
      <c r="A28" s="7"/>
      <c r="B28" s="12" t="s">
        <v>34</v>
      </c>
      <c r="C28" s="18" t="s">
        <v>35</v>
      </c>
      <c r="D28" s="15">
        <v>970</v>
      </c>
      <c r="E28" s="15">
        <v>1077.8</v>
      </c>
      <c r="F28" s="15">
        <v>180</v>
      </c>
      <c r="G28" s="15">
        <v>236</v>
      </c>
      <c r="H28" s="17">
        <f>F28/E28</f>
        <v>0.16700686583781779</v>
      </c>
      <c r="I28" s="40">
        <v>0.13400000000000001</v>
      </c>
      <c r="J28" s="15">
        <v>3989</v>
      </c>
      <c r="K28" s="15">
        <v>4114.42</v>
      </c>
      <c r="L28" s="7"/>
      <c r="M28" s="7"/>
    </row>
    <row r="29" spans="1:14" x14ac:dyDescent="0.35">
      <c r="A29" s="7"/>
      <c r="B29" s="12" t="s">
        <v>36</v>
      </c>
      <c r="C29" s="18" t="s">
        <v>37</v>
      </c>
      <c r="D29" s="15">
        <v>273</v>
      </c>
      <c r="E29" s="15">
        <v>281.5</v>
      </c>
      <c r="F29" s="15">
        <v>22.2</v>
      </c>
      <c r="G29" s="15">
        <v>31.5</v>
      </c>
      <c r="H29" s="17">
        <f>F29/E29</f>
        <v>7.8863232682060386E-2</v>
      </c>
      <c r="I29" s="40">
        <v>5.0999999999999997E-2</v>
      </c>
      <c r="J29" s="15">
        <v>1070</v>
      </c>
      <c r="K29" s="15">
        <v>967.18</v>
      </c>
      <c r="L29" s="7"/>
      <c r="M29" s="7"/>
    </row>
    <row r="30" spans="1:14" ht="4.5" customHeight="1" x14ac:dyDescent="0.35">
      <c r="A30" s="7"/>
      <c r="B30" s="12"/>
      <c r="C30" s="18"/>
      <c r="D30" s="15"/>
      <c r="E30" s="15"/>
      <c r="F30" s="15"/>
      <c r="G30" s="15"/>
      <c r="H30" s="17"/>
      <c r="I30" s="40"/>
      <c r="J30" s="15"/>
      <c r="K30" s="15"/>
      <c r="L30" s="7"/>
      <c r="M30" s="7"/>
    </row>
    <row r="31" spans="1:14" x14ac:dyDescent="0.35">
      <c r="A31" s="7"/>
      <c r="B31" s="37" t="s">
        <v>13</v>
      </c>
      <c r="C31" s="41"/>
      <c r="D31" s="42">
        <f t="shared" ref="D31:K31" si="4">MEDIAN(D26:D29)</f>
        <v>850.7</v>
      </c>
      <c r="E31" s="42">
        <f t="shared" si="4"/>
        <v>1011.25</v>
      </c>
      <c r="F31" s="42">
        <f t="shared" si="4"/>
        <v>255.7</v>
      </c>
      <c r="G31" s="42">
        <f t="shared" si="4"/>
        <v>323.45</v>
      </c>
      <c r="H31" s="43">
        <f t="shared" si="4"/>
        <v>0.25232813411412802</v>
      </c>
      <c r="I31" s="44">
        <f t="shared" si="4"/>
        <v>9.2499999999999999E-2</v>
      </c>
      <c r="J31" s="42">
        <f t="shared" si="4"/>
        <v>5964.4</v>
      </c>
      <c r="K31" s="42">
        <f t="shared" si="4"/>
        <v>6003.66</v>
      </c>
      <c r="L31" s="7"/>
      <c r="M31" s="7"/>
    </row>
    <row r="32" spans="1:14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1E5F5"/>
  </sheetPr>
  <dimension ref="B1:M30"/>
  <sheetViews>
    <sheetView showGridLines="0" zoomScaleNormal="100" workbookViewId="0"/>
  </sheetViews>
  <sheetFormatPr defaultColWidth="8.54296875" defaultRowHeight="14.5" x14ac:dyDescent="0.35"/>
  <cols>
    <col min="1" max="1" width="2.6328125" customWidth="1"/>
    <col min="2" max="2" width="38.81640625" customWidth="1"/>
    <col min="3" max="3" width="15.08984375" customWidth="1"/>
    <col min="4" max="4" width="12.54296875" customWidth="1"/>
    <col min="5" max="5" width="12.90625" customWidth="1"/>
    <col min="6" max="6" width="11.36328125" customWidth="1"/>
    <col min="7" max="7" width="16.54296875" customWidth="1"/>
    <col min="8" max="8" width="18.7265625" customWidth="1"/>
    <col min="9" max="9" width="15.08984375" customWidth="1"/>
    <col min="10" max="10" width="15.36328125" customWidth="1"/>
    <col min="11" max="11" width="14.1796875" customWidth="1"/>
    <col min="12" max="12" width="19.36328125" customWidth="1"/>
  </cols>
  <sheetData>
    <row r="1" spans="2:13" x14ac:dyDescent="0.35">
      <c r="B1" s="45" t="s">
        <v>38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7"/>
    </row>
    <row r="2" spans="2:13" x14ac:dyDescent="0.35">
      <c r="B2" s="10"/>
      <c r="C2" s="11" t="s">
        <v>29</v>
      </c>
      <c r="D2" s="11" t="s">
        <v>24</v>
      </c>
      <c r="E2" s="11" t="s">
        <v>25</v>
      </c>
      <c r="F2" s="11" t="s">
        <v>26</v>
      </c>
      <c r="G2" s="11" t="s">
        <v>27</v>
      </c>
      <c r="H2" s="11" t="s">
        <v>12</v>
      </c>
      <c r="I2" s="11" t="s">
        <v>7</v>
      </c>
      <c r="J2" s="11" t="s">
        <v>8</v>
      </c>
      <c r="K2" s="11" t="s">
        <v>9</v>
      </c>
      <c r="L2" s="11" t="s">
        <v>10</v>
      </c>
      <c r="M2" s="7"/>
    </row>
    <row r="3" spans="2:13" x14ac:dyDescent="0.35">
      <c r="B3" s="7" t="s">
        <v>39</v>
      </c>
      <c r="C3" s="15">
        <v>511.9</v>
      </c>
      <c r="D3" s="15">
        <v>343.2</v>
      </c>
      <c r="E3" s="15">
        <v>395.2</v>
      </c>
      <c r="F3" s="15">
        <v>18.7</v>
      </c>
      <c r="G3" s="15">
        <v>32.200000000000003</v>
      </c>
      <c r="H3" s="40">
        <v>0.14699999999999999</v>
      </c>
      <c r="I3" s="16">
        <f>$C3/$D3</f>
        <v>1.4915501165501166</v>
      </c>
      <c r="J3" s="16">
        <f>$C3/$E3</f>
        <v>1.2952935222672064</v>
      </c>
      <c r="K3" s="16">
        <f>$C3/$F3</f>
        <v>27.37433155080214</v>
      </c>
      <c r="L3" s="16">
        <f>$C3/$G3</f>
        <v>15.897515527950308</v>
      </c>
      <c r="M3" s="7"/>
    </row>
    <row r="4" spans="2:13" x14ac:dyDescent="0.35">
      <c r="B4" s="7" t="s">
        <v>40</v>
      </c>
      <c r="C4" s="15">
        <v>3825.2</v>
      </c>
      <c r="D4" s="15">
        <v>1677.1</v>
      </c>
      <c r="E4" s="15">
        <v>1734.9</v>
      </c>
      <c r="F4" s="15">
        <v>293.10000000000002</v>
      </c>
      <c r="G4" s="15">
        <v>352.1</v>
      </c>
      <c r="H4" s="40">
        <v>0.17299999999999999</v>
      </c>
      <c r="I4" s="16">
        <f>$C4/$D4</f>
        <v>2.2808419295211975</v>
      </c>
      <c r="J4" s="16">
        <f>$C4/$E4</f>
        <v>2.2048533056660324</v>
      </c>
      <c r="K4" s="16">
        <f>$C4/$F4</f>
        <v>13.050835892186965</v>
      </c>
      <c r="L4" s="16">
        <f>$C4/$G4</f>
        <v>10.863959102527689</v>
      </c>
      <c r="M4" s="7"/>
    </row>
    <row r="5" spans="2:13" x14ac:dyDescent="0.35">
      <c r="B5" s="7" t="s">
        <v>41</v>
      </c>
      <c r="C5" s="15">
        <v>173.5</v>
      </c>
      <c r="D5" s="15">
        <v>282.60000000000002</v>
      </c>
      <c r="E5" s="15">
        <v>307.7</v>
      </c>
      <c r="F5" s="15">
        <v>17</v>
      </c>
      <c r="G5" s="15">
        <v>26</v>
      </c>
      <c r="H5" s="40">
        <v>0.13100000000000001</v>
      </c>
      <c r="I5" s="16">
        <f>$C5/$D5</f>
        <v>0.61394196744515206</v>
      </c>
      <c r="J5" s="16">
        <f>$C5/$E5</f>
        <v>0.56386090347741313</v>
      </c>
      <c r="K5" s="16">
        <f>$C5/$F5</f>
        <v>10.205882352941176</v>
      </c>
      <c r="L5" s="16">
        <f>$C5/$G5</f>
        <v>6.6730769230769234</v>
      </c>
      <c r="M5" s="7"/>
    </row>
    <row r="6" spans="2:13" ht="4.5" customHeight="1" x14ac:dyDescent="0.35">
      <c r="B6" s="7"/>
      <c r="C6" s="12"/>
      <c r="D6" s="13"/>
      <c r="E6" s="13"/>
      <c r="F6" s="13"/>
      <c r="G6" s="13"/>
      <c r="H6" s="47"/>
      <c r="I6" s="47"/>
      <c r="J6" s="16"/>
      <c r="K6" s="16"/>
      <c r="L6" s="16"/>
      <c r="M6" s="7"/>
    </row>
    <row r="7" spans="2:13" x14ac:dyDescent="0.35">
      <c r="B7" s="48" t="s">
        <v>13</v>
      </c>
      <c r="C7" s="49">
        <f t="shared" ref="C7:L7" si="0">MEDIAN(C3:C5)</f>
        <v>511.9</v>
      </c>
      <c r="D7" s="49">
        <f t="shared" si="0"/>
        <v>343.2</v>
      </c>
      <c r="E7" s="49">
        <f t="shared" si="0"/>
        <v>395.2</v>
      </c>
      <c r="F7" s="50">
        <f t="shared" si="0"/>
        <v>18.7</v>
      </c>
      <c r="G7" s="50">
        <f t="shared" si="0"/>
        <v>32.200000000000003</v>
      </c>
      <c r="H7" s="51">
        <f t="shared" si="0"/>
        <v>0.14699999999999999</v>
      </c>
      <c r="I7" s="52">
        <f t="shared" si="0"/>
        <v>1.4915501165501166</v>
      </c>
      <c r="J7" s="52">
        <f t="shared" si="0"/>
        <v>1.2952935222672064</v>
      </c>
      <c r="K7" s="52">
        <f t="shared" si="0"/>
        <v>13.050835892186965</v>
      </c>
      <c r="L7" s="53">
        <f t="shared" si="0"/>
        <v>10.863959102527689</v>
      </c>
      <c r="M7" s="7"/>
    </row>
    <row r="8" spans="2:13" ht="4.5" customHeight="1" x14ac:dyDescent="0.35">
      <c r="B8" s="7"/>
      <c r="C8" s="12"/>
      <c r="D8" s="13"/>
      <c r="E8" s="13"/>
      <c r="F8" s="13"/>
      <c r="G8" s="13"/>
      <c r="H8" s="47"/>
      <c r="I8" s="47"/>
      <c r="J8" s="16"/>
      <c r="K8" s="16"/>
      <c r="L8" s="7"/>
      <c r="M8" s="7"/>
    </row>
    <row r="9" spans="2:13" x14ac:dyDescent="0.35">
      <c r="B9" s="31" t="s">
        <v>42</v>
      </c>
      <c r="C9" s="34">
        <v>1000000</v>
      </c>
      <c r="D9" s="7"/>
      <c r="E9" s="7"/>
      <c r="F9" s="7"/>
      <c r="G9" s="7"/>
      <c r="H9" s="32"/>
      <c r="I9" s="32"/>
      <c r="J9" s="33"/>
      <c r="K9" s="33"/>
      <c r="L9" s="7"/>
      <c r="M9" s="7"/>
    </row>
    <row r="10" spans="2:13" ht="4.5" customHeight="1" x14ac:dyDescent="0.35">
      <c r="B10" s="31"/>
      <c r="C10" s="7"/>
      <c r="D10" s="7"/>
      <c r="E10" s="7"/>
      <c r="F10" s="7"/>
      <c r="G10" s="7"/>
      <c r="H10" s="32"/>
      <c r="I10" s="32"/>
      <c r="J10" s="33"/>
      <c r="K10" s="33"/>
      <c r="L10" s="7"/>
      <c r="M10" s="7"/>
    </row>
    <row r="11" spans="2:13" x14ac:dyDescent="0.35">
      <c r="B11" s="9" t="s">
        <v>16</v>
      </c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2:13" x14ac:dyDescent="0.35">
      <c r="B12" s="10"/>
      <c r="C12" s="10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2:13" x14ac:dyDescent="0.35">
      <c r="B13" s="7" t="s">
        <v>17</v>
      </c>
      <c r="C13" s="15">
        <f>((I$7*IS!E6)*$C$9)</f>
        <v>475655332.1678322</v>
      </c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2:13" x14ac:dyDescent="0.35">
      <c r="B14" s="7" t="s">
        <v>18</v>
      </c>
      <c r="C14" s="15">
        <f>((L7*IS!G19)*$C$9)</f>
        <v>83679793.827805012</v>
      </c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2:13" x14ac:dyDescent="0.35">
      <c r="B15" s="7" t="s">
        <v>19</v>
      </c>
      <c r="C15" s="15">
        <f>AVERAGE(C13:C14)</f>
        <v>279667562.99781859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2:13" x14ac:dyDescent="0.35">
      <c r="B16" s="7" t="s">
        <v>20</v>
      </c>
      <c r="C16" s="15">
        <f>DCF!C37</f>
        <v>-96700000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2:13" x14ac:dyDescent="0.35">
      <c r="B17" s="7" t="s">
        <v>21</v>
      </c>
      <c r="C17" s="15">
        <f>SUM(C15:C16)</f>
        <v>182967562.99781859</v>
      </c>
      <c r="D17" s="7"/>
      <c r="E17" s="7"/>
      <c r="F17" s="7"/>
      <c r="G17" s="7"/>
      <c r="H17" s="7"/>
      <c r="I17" s="7"/>
      <c r="J17" s="54"/>
      <c r="K17" s="7"/>
      <c r="L17" s="7"/>
      <c r="M17" s="7"/>
    </row>
    <row r="18" spans="2:13" x14ac:dyDescent="0.35">
      <c r="B18" s="7" t="s">
        <v>22</v>
      </c>
      <c r="C18" s="55">
        <f>DCF!C38</f>
        <v>44400000</v>
      </c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3" ht="4.5" customHeight="1" x14ac:dyDescent="0.35">
      <c r="B19" s="7"/>
      <c r="C19" s="55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35">
      <c r="B20" s="37" t="s">
        <v>23</v>
      </c>
      <c r="C20" s="38">
        <f>C17/C18</f>
        <v>4.1208910585094278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3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2:13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2:13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2:13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3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3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1E5F5"/>
  </sheetPr>
  <dimension ref="A1:L51"/>
  <sheetViews>
    <sheetView showGridLines="0" zoomScaleNormal="100" workbookViewId="0">
      <selection activeCell="K45" sqref="K45"/>
    </sheetView>
  </sheetViews>
  <sheetFormatPr defaultColWidth="8.6328125" defaultRowHeight="14.5" x14ac:dyDescent="0.35"/>
  <cols>
    <col min="1" max="1" width="2.6328125" style="56" customWidth="1"/>
    <col min="2" max="2" width="32" style="56" customWidth="1"/>
    <col min="3" max="10" width="11" style="56" customWidth="1"/>
    <col min="11" max="16384" width="8.6328125" style="56"/>
  </cols>
  <sheetData>
    <row r="1" spans="1:12" ht="15.75" customHeight="1" x14ac:dyDescent="0.35">
      <c r="A1" s="57"/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7"/>
      <c r="L1" s="59"/>
    </row>
    <row r="2" spans="1:12" ht="13.5" customHeight="1" x14ac:dyDescent="0.35">
      <c r="A2" s="57"/>
      <c r="B2" s="60"/>
      <c r="C2" s="60">
        <v>2024</v>
      </c>
      <c r="D2" s="60">
        <f>C2+1</f>
        <v>2025</v>
      </c>
      <c r="E2" s="60">
        <f>D2+1</f>
        <v>2026</v>
      </c>
      <c r="F2" s="60" t="s">
        <v>44</v>
      </c>
      <c r="G2" s="60" t="s">
        <v>45</v>
      </c>
      <c r="H2" s="60" t="s">
        <v>46</v>
      </c>
      <c r="I2" s="60" t="s">
        <v>47</v>
      </c>
      <c r="J2" s="60" t="s">
        <v>48</v>
      </c>
      <c r="K2" s="59"/>
      <c r="L2" s="59"/>
    </row>
    <row r="3" spans="1:12" ht="15" customHeight="1" x14ac:dyDescent="0.35">
      <c r="A3" s="57"/>
      <c r="B3" s="61" t="s">
        <v>49</v>
      </c>
      <c r="C3" s="61"/>
      <c r="D3" s="61"/>
      <c r="E3" s="61"/>
      <c r="F3" s="61"/>
      <c r="G3" s="61"/>
      <c r="H3" s="61"/>
      <c r="I3" s="61"/>
      <c r="J3" s="61"/>
      <c r="K3" s="59"/>
      <c r="L3" s="59"/>
    </row>
    <row r="4" spans="1:12" ht="15" customHeight="1" x14ac:dyDescent="0.35">
      <c r="A4" s="57"/>
      <c r="B4" s="57" t="s">
        <v>50</v>
      </c>
      <c r="C4" s="62">
        <v>285.5</v>
      </c>
      <c r="D4" s="62">
        <v>286.00200000000001</v>
      </c>
      <c r="E4" s="62">
        <v>292</v>
      </c>
      <c r="F4" s="63">
        <f t="shared" ref="F4:J5" si="0">E4*(1+F38)</f>
        <v>295.50400000000002</v>
      </c>
      <c r="G4" s="63">
        <f t="shared" si="0"/>
        <v>306.73315200000002</v>
      </c>
      <c r="H4" s="63">
        <f t="shared" si="0"/>
        <v>315.93514656000002</v>
      </c>
      <c r="I4" s="63">
        <f t="shared" si="0"/>
        <v>322.25384949120001</v>
      </c>
      <c r="J4" s="63">
        <f t="shared" si="0"/>
        <v>325.476387986112</v>
      </c>
      <c r="K4" s="59"/>
      <c r="L4" s="59"/>
    </row>
    <row r="5" spans="1:12" ht="15" customHeight="1" x14ac:dyDescent="0.35">
      <c r="A5" s="57"/>
      <c r="B5" s="57" t="s">
        <v>51</v>
      </c>
      <c r="C5" s="62">
        <v>33.488999999999997</v>
      </c>
      <c r="D5" s="62">
        <v>31.042000000000002</v>
      </c>
      <c r="E5" s="62">
        <v>26.9</v>
      </c>
      <c r="F5" s="63">
        <f t="shared" si="0"/>
        <v>25.554999999999996</v>
      </c>
      <c r="G5" s="63">
        <f t="shared" si="0"/>
        <v>24.788349999999994</v>
      </c>
      <c r="H5" s="63">
        <f t="shared" si="0"/>
        <v>24.292582999999993</v>
      </c>
      <c r="I5" s="63">
        <f t="shared" si="0"/>
        <v>24.292582999999993</v>
      </c>
      <c r="J5" s="63">
        <f t="shared" si="0"/>
        <v>24.292582999999993</v>
      </c>
      <c r="K5" s="59"/>
      <c r="L5" s="59"/>
    </row>
    <row r="6" spans="1:12" ht="15" customHeight="1" x14ac:dyDescent="0.35">
      <c r="A6" s="57"/>
      <c r="B6" s="64" t="s">
        <v>52</v>
      </c>
      <c r="C6" s="65">
        <f t="shared" ref="C6:J6" si="1">C4+C5</f>
        <v>318.98899999999998</v>
      </c>
      <c r="D6" s="65">
        <f t="shared" si="1"/>
        <v>317.04399999999998</v>
      </c>
      <c r="E6" s="65">
        <f t="shared" si="1"/>
        <v>318.89999999999998</v>
      </c>
      <c r="F6" s="65">
        <f t="shared" si="1"/>
        <v>321.05900000000003</v>
      </c>
      <c r="G6" s="65">
        <f t="shared" si="1"/>
        <v>331.521502</v>
      </c>
      <c r="H6" s="65">
        <f t="shared" si="1"/>
        <v>340.22772956</v>
      </c>
      <c r="I6" s="65">
        <f t="shared" si="1"/>
        <v>346.54643249119999</v>
      </c>
      <c r="J6" s="65">
        <f t="shared" si="1"/>
        <v>349.76897098611198</v>
      </c>
      <c r="K6" s="59"/>
      <c r="L6" s="59"/>
    </row>
    <row r="7" spans="1:12" ht="15" customHeight="1" x14ac:dyDescent="0.35">
      <c r="A7" s="57"/>
      <c r="B7" s="57" t="s">
        <v>53</v>
      </c>
      <c r="C7" s="57" t="s">
        <v>54</v>
      </c>
      <c r="D7" s="66">
        <f t="shared" ref="D7:J7" si="2">(D6-C6)/C6</f>
        <v>-6.0973889381765308E-3</v>
      </c>
      <c r="E7" s="66">
        <f t="shared" si="2"/>
        <v>5.8540770366258144E-3</v>
      </c>
      <c r="F7" s="66">
        <f t="shared" si="2"/>
        <v>6.770147381624487E-3</v>
      </c>
      <c r="G7" s="66">
        <f t="shared" si="2"/>
        <v>3.258747457632389E-2</v>
      </c>
      <c r="H7" s="66">
        <f t="shared" si="2"/>
        <v>2.6261426506205929E-2</v>
      </c>
      <c r="I7" s="66">
        <f t="shared" si="2"/>
        <v>1.8571981006285598E-2</v>
      </c>
      <c r="J7" s="66">
        <f t="shared" si="2"/>
        <v>9.2990092893073389E-3</v>
      </c>
      <c r="K7" s="59"/>
      <c r="L7" s="59"/>
    </row>
    <row r="8" spans="1:12" ht="15" customHeight="1" x14ac:dyDescent="0.35">
      <c r="A8" s="57"/>
      <c r="B8" s="61" t="s">
        <v>55</v>
      </c>
      <c r="C8" s="61"/>
      <c r="D8" s="61"/>
      <c r="E8" s="61"/>
      <c r="F8" s="61"/>
      <c r="G8" s="61"/>
      <c r="H8" s="61"/>
      <c r="I8" s="61"/>
      <c r="J8" s="61"/>
      <c r="K8" s="59"/>
      <c r="L8" s="59"/>
    </row>
    <row r="9" spans="1:12" ht="15" customHeight="1" x14ac:dyDescent="0.35">
      <c r="A9" s="59"/>
      <c r="B9" s="57" t="s">
        <v>56</v>
      </c>
      <c r="C9" s="62">
        <v>46.045000000000002</v>
      </c>
      <c r="D9" s="62">
        <v>53.585000000000001</v>
      </c>
      <c r="E9" s="62">
        <v>49</v>
      </c>
      <c r="F9" s="63">
        <f t="shared" ref="F9:J10" si="3">F4*F40</f>
        <v>52.45196</v>
      </c>
      <c r="G9" s="63">
        <f t="shared" si="3"/>
        <v>53.678301599999998</v>
      </c>
      <c r="H9" s="63">
        <f t="shared" si="3"/>
        <v>53.70897491520001</v>
      </c>
      <c r="I9" s="63">
        <f t="shared" si="3"/>
        <v>51.560615918592006</v>
      </c>
      <c r="J9" s="63">
        <f t="shared" si="3"/>
        <v>48.821458197916797</v>
      </c>
      <c r="K9" s="59"/>
      <c r="L9" s="59"/>
    </row>
    <row r="10" spans="1:12" ht="15" customHeight="1" x14ac:dyDescent="0.35">
      <c r="A10" s="59"/>
      <c r="B10" s="57" t="s">
        <v>57</v>
      </c>
      <c r="C10" s="62">
        <v>29.425000000000001</v>
      </c>
      <c r="D10" s="62">
        <v>27.408000000000001</v>
      </c>
      <c r="E10" s="62">
        <v>30.7</v>
      </c>
      <c r="F10" s="63">
        <f t="shared" si="3"/>
        <v>22.488399999999995</v>
      </c>
      <c r="G10" s="63">
        <f t="shared" si="3"/>
        <v>21.565864499999996</v>
      </c>
      <c r="H10" s="63">
        <f t="shared" si="3"/>
        <v>20.891621379999993</v>
      </c>
      <c r="I10" s="63">
        <f t="shared" si="3"/>
        <v>20.648695549999992</v>
      </c>
      <c r="J10" s="63">
        <f t="shared" si="3"/>
        <v>20.405769719999995</v>
      </c>
      <c r="K10" s="59"/>
      <c r="L10" s="59"/>
    </row>
    <row r="11" spans="1:12" ht="15" customHeight="1" x14ac:dyDescent="0.35">
      <c r="A11" s="59"/>
      <c r="B11" s="64" t="s">
        <v>58</v>
      </c>
      <c r="C11" s="65">
        <f t="shared" ref="C11:J11" si="4">C9+C10</f>
        <v>75.47</v>
      </c>
      <c r="D11" s="65">
        <f t="shared" si="4"/>
        <v>80.992999999999995</v>
      </c>
      <c r="E11" s="65">
        <f t="shared" si="4"/>
        <v>79.7</v>
      </c>
      <c r="F11" s="65">
        <f t="shared" si="4"/>
        <v>74.940359999999998</v>
      </c>
      <c r="G11" s="65">
        <f t="shared" si="4"/>
        <v>75.244166100000001</v>
      </c>
      <c r="H11" s="65">
        <f t="shared" si="4"/>
        <v>74.600596295200006</v>
      </c>
      <c r="I11" s="65">
        <f t="shared" si="4"/>
        <v>72.209311468592006</v>
      </c>
      <c r="J11" s="65">
        <f t="shared" si="4"/>
        <v>69.227227917916792</v>
      </c>
      <c r="K11" s="59"/>
      <c r="L11" s="59"/>
    </row>
    <row r="12" spans="1:12" ht="15" customHeight="1" x14ac:dyDescent="0.35">
      <c r="A12" s="59"/>
      <c r="B12" s="64" t="s">
        <v>59</v>
      </c>
      <c r="C12" s="67">
        <f t="shared" ref="C12:J12" si="5">C6-C11</f>
        <v>243.51899999999998</v>
      </c>
      <c r="D12" s="67">
        <f t="shared" si="5"/>
        <v>236.05099999999999</v>
      </c>
      <c r="E12" s="67">
        <f t="shared" si="5"/>
        <v>239.2</v>
      </c>
      <c r="F12" s="67">
        <f t="shared" si="5"/>
        <v>246.11864000000003</v>
      </c>
      <c r="G12" s="67">
        <f t="shared" si="5"/>
        <v>256.27733590000003</v>
      </c>
      <c r="H12" s="67">
        <f t="shared" si="5"/>
        <v>265.62713326480002</v>
      </c>
      <c r="I12" s="67">
        <f t="shared" si="5"/>
        <v>274.33712102260802</v>
      </c>
      <c r="J12" s="67">
        <f t="shared" si="5"/>
        <v>280.54174306819516</v>
      </c>
      <c r="K12" s="59"/>
      <c r="L12" s="59"/>
    </row>
    <row r="13" spans="1:12" ht="15" customHeight="1" x14ac:dyDescent="0.35">
      <c r="A13" s="59"/>
      <c r="B13" s="57" t="s">
        <v>60</v>
      </c>
      <c r="C13" s="68">
        <f t="shared" ref="C13:J13" si="6">C12/C6</f>
        <v>0.76340876958139625</v>
      </c>
      <c r="D13" s="68">
        <f t="shared" si="6"/>
        <v>0.74453703586883835</v>
      </c>
      <c r="E13" s="68">
        <f t="shared" si="6"/>
        <v>0.75007839448102853</v>
      </c>
      <c r="F13" s="68">
        <f t="shared" si="6"/>
        <v>0.76658383661569995</v>
      </c>
      <c r="G13" s="68">
        <f t="shared" si="6"/>
        <v>0.77303382843626245</v>
      </c>
      <c r="H13" s="68">
        <f t="shared" si="6"/>
        <v>0.78073334471685385</v>
      </c>
      <c r="I13" s="68">
        <f t="shared" si="6"/>
        <v>0.79163164096220895</v>
      </c>
      <c r="J13" s="68">
        <f t="shared" si="6"/>
        <v>0.80207727482874525</v>
      </c>
      <c r="K13" s="59"/>
      <c r="L13" s="59"/>
    </row>
    <row r="14" spans="1:12" ht="15" customHeight="1" x14ac:dyDescent="0.35">
      <c r="A14" s="59"/>
      <c r="B14" s="61" t="s">
        <v>61</v>
      </c>
      <c r="C14" s="61"/>
      <c r="D14" s="61"/>
      <c r="E14" s="61"/>
      <c r="F14" s="61"/>
      <c r="G14" s="61"/>
      <c r="H14" s="61"/>
      <c r="I14" s="61"/>
      <c r="J14" s="61"/>
      <c r="K14" s="59"/>
      <c r="L14" s="59"/>
    </row>
    <row r="15" spans="1:12" ht="15" customHeight="1" x14ac:dyDescent="0.35">
      <c r="A15" s="59"/>
      <c r="B15" s="57" t="s">
        <v>62</v>
      </c>
      <c r="C15" s="62">
        <v>163.90199999999999</v>
      </c>
      <c r="D15" s="62">
        <v>151.505</v>
      </c>
      <c r="E15" s="62">
        <v>141.80000000000001</v>
      </c>
      <c r="F15" s="63">
        <f>F6*F42</f>
        <v>143.44916119999999</v>
      </c>
      <c r="G15" s="63">
        <f>G6*G42</f>
        <v>142.58739801019999</v>
      </c>
      <c r="H15" s="63">
        <f>H6*H42</f>
        <v>142.55541868564001</v>
      </c>
      <c r="I15" s="63">
        <f>I6*I42</f>
        <v>143.29694983511118</v>
      </c>
      <c r="J15" s="63">
        <f>J6*J42</f>
        <v>145.60882262151841</v>
      </c>
      <c r="K15" s="59"/>
      <c r="L15" s="59"/>
    </row>
    <row r="16" spans="1:12" ht="15" customHeight="1" x14ac:dyDescent="0.35">
      <c r="A16" s="59"/>
      <c r="B16" s="57" t="s">
        <v>63</v>
      </c>
      <c r="C16" s="62">
        <v>85.049000000000007</v>
      </c>
      <c r="D16" s="62">
        <v>87.899000000000001</v>
      </c>
      <c r="E16" s="62">
        <v>77.2</v>
      </c>
      <c r="F16" s="63">
        <f>F6*F43</f>
        <v>74.935170600000006</v>
      </c>
      <c r="G16" s="63">
        <f>G6*G43</f>
        <v>74.492881499399999</v>
      </c>
      <c r="H16" s="63">
        <f>H6*H43</f>
        <v>74.475850000684005</v>
      </c>
      <c r="I16" s="63">
        <f>I6*I43</f>
        <v>74.854029418099202</v>
      </c>
      <c r="J16" s="63">
        <f>J6*J43</f>
        <v>76.074751189479358</v>
      </c>
      <c r="K16" s="59"/>
      <c r="L16" s="59"/>
    </row>
    <row r="17" spans="1:12" ht="15" customHeight="1" x14ac:dyDescent="0.35">
      <c r="A17" s="59"/>
      <c r="B17" s="57" t="s">
        <v>64</v>
      </c>
      <c r="C17" s="62">
        <v>49.448999999999998</v>
      </c>
      <c r="D17" s="62">
        <v>55.929000000000002</v>
      </c>
      <c r="E17" s="62">
        <v>59.2</v>
      </c>
      <c r="F17" s="63">
        <f>F6*F44</f>
        <v>49.764145000000006</v>
      </c>
      <c r="G17" s="63">
        <f>G6*G44</f>
        <v>44.755402770000003</v>
      </c>
      <c r="H17" s="63">
        <f>H6*H44</f>
        <v>42.528466195</v>
      </c>
      <c r="I17" s="63">
        <f>I6*I44</f>
        <v>41.585571898943996</v>
      </c>
      <c r="J17" s="63">
        <f>J6*J44</f>
        <v>38.474586808472317</v>
      </c>
      <c r="K17" s="59"/>
      <c r="L17" s="59"/>
    </row>
    <row r="18" spans="1:12" ht="15" customHeight="1" x14ac:dyDescent="0.35">
      <c r="A18" s="59"/>
      <c r="B18" s="64" t="s">
        <v>65</v>
      </c>
      <c r="C18" s="65">
        <f t="shared" ref="C18:J18" si="7">C15+C16+C17</f>
        <v>298.39999999999998</v>
      </c>
      <c r="D18" s="65">
        <f t="shared" si="7"/>
        <v>295.33299999999997</v>
      </c>
      <c r="E18" s="65">
        <f t="shared" si="7"/>
        <v>278.2</v>
      </c>
      <c r="F18" s="65">
        <f t="shared" si="7"/>
        <v>268.14847679999997</v>
      </c>
      <c r="G18" s="65">
        <f t="shared" si="7"/>
        <v>261.83568227960001</v>
      </c>
      <c r="H18" s="65">
        <f t="shared" si="7"/>
        <v>259.559734881324</v>
      </c>
      <c r="I18" s="65">
        <f t="shared" si="7"/>
        <v>259.73655115215439</v>
      </c>
      <c r="J18" s="65">
        <f t="shared" si="7"/>
        <v>260.1581606194701</v>
      </c>
      <c r="K18" s="59"/>
      <c r="L18" s="59"/>
    </row>
    <row r="19" spans="1:12" ht="15" customHeight="1" x14ac:dyDescent="0.35">
      <c r="A19" s="59"/>
      <c r="B19" s="64" t="s">
        <v>66</v>
      </c>
      <c r="C19" s="69">
        <f t="shared" ref="C19:J19" si="8">C12-C18+C21</f>
        <v>-48.259</v>
      </c>
      <c r="D19" s="69">
        <f t="shared" si="8"/>
        <v>-50.045999999999978</v>
      </c>
      <c r="E19" s="69">
        <f t="shared" si="8"/>
        <v>-24.2</v>
      </c>
      <c r="F19" s="69">
        <f t="shared" si="8"/>
        <v>-5.9768867999999387</v>
      </c>
      <c r="G19" s="70">
        <f t="shared" si="8"/>
        <v>7.7025137004000186</v>
      </c>
      <c r="H19" s="70">
        <f t="shared" si="8"/>
        <v>16.274230270276018</v>
      </c>
      <c r="I19" s="70">
        <f t="shared" si="8"/>
        <v>23.264230682733626</v>
      </c>
      <c r="J19" s="70">
        <f t="shared" si="8"/>
        <v>27.378961868447306</v>
      </c>
      <c r="K19" s="59"/>
      <c r="L19" s="59"/>
    </row>
    <row r="20" spans="1:12" ht="15" customHeight="1" x14ac:dyDescent="0.35">
      <c r="A20" s="59"/>
      <c r="B20" s="57" t="s">
        <v>67</v>
      </c>
      <c r="C20" s="66">
        <f t="shared" ref="C20:J20" si="9">C19/C6</f>
        <v>-0.15128734846656156</v>
      </c>
      <c r="D20" s="66">
        <f t="shared" si="9"/>
        <v>-0.15785190699082771</v>
      </c>
      <c r="E20" s="66">
        <f t="shared" si="9"/>
        <v>-7.5885857635622458E-2</v>
      </c>
      <c r="F20" s="66">
        <f t="shared" si="9"/>
        <v>-1.8616163384299889E-2</v>
      </c>
      <c r="G20" s="68">
        <f t="shared" si="9"/>
        <v>2.3233828436262389E-2</v>
      </c>
      <c r="H20" s="68">
        <f t="shared" si="9"/>
        <v>4.7833344716853882E-2</v>
      </c>
      <c r="I20" s="68">
        <f t="shared" si="9"/>
        <v>6.7131640962208972E-2</v>
      </c>
      <c r="J20" s="68">
        <f t="shared" si="9"/>
        <v>7.8277274828745233E-2</v>
      </c>
      <c r="K20" s="59"/>
      <c r="L20" s="59"/>
    </row>
    <row r="21" spans="1:12" ht="15" customHeight="1" x14ac:dyDescent="0.35">
      <c r="A21" s="59"/>
      <c r="B21" s="57" t="s">
        <v>68</v>
      </c>
      <c r="C21" s="62">
        <v>6.6219999999999999</v>
      </c>
      <c r="D21" s="62">
        <v>9.2360000000000007</v>
      </c>
      <c r="E21" s="62">
        <v>14.8</v>
      </c>
      <c r="F21" s="63">
        <f>F6*F45</f>
        <v>16.052950000000003</v>
      </c>
      <c r="G21" s="63">
        <f>G6*G45</f>
        <v>13.26086008</v>
      </c>
      <c r="H21" s="63">
        <f>H6*H45</f>
        <v>10.2068318868</v>
      </c>
      <c r="I21" s="63">
        <f>I6*I45</f>
        <v>8.6636608122799998</v>
      </c>
      <c r="J21" s="63">
        <f>J6*J45</f>
        <v>6.9953794197222399</v>
      </c>
      <c r="K21" s="59"/>
      <c r="L21" s="59"/>
    </row>
    <row r="22" spans="1:12" ht="15" customHeight="1" x14ac:dyDescent="0.35">
      <c r="A22" s="59"/>
      <c r="B22" s="57" t="s">
        <v>69</v>
      </c>
      <c r="C22" s="68">
        <f t="shared" ref="C22:J22" si="10">C21/C6</f>
        <v>2.0759336528845825E-2</v>
      </c>
      <c r="D22" s="68">
        <f t="shared" si="10"/>
        <v>2.9131603184416047E-2</v>
      </c>
      <c r="E22" s="68">
        <f t="shared" si="10"/>
        <v>4.6409532768893078E-2</v>
      </c>
      <c r="F22" s="68">
        <f t="shared" si="10"/>
        <v>0.05</v>
      </c>
      <c r="G22" s="68">
        <f t="shared" si="10"/>
        <v>0.04</v>
      </c>
      <c r="H22" s="68">
        <f t="shared" si="10"/>
        <v>0.03</v>
      </c>
      <c r="I22" s="68">
        <f t="shared" si="10"/>
        <v>2.5000000000000001E-2</v>
      </c>
      <c r="J22" s="68">
        <f t="shared" si="10"/>
        <v>0.02</v>
      </c>
      <c r="K22" s="59"/>
      <c r="L22" s="59"/>
    </row>
    <row r="23" spans="1:12" ht="15" customHeight="1" x14ac:dyDescent="0.35">
      <c r="A23" s="59"/>
      <c r="B23" s="64" t="s">
        <v>70</v>
      </c>
      <c r="C23" s="69">
        <f t="shared" ref="C23:J23" si="11">C12-C18</f>
        <v>-54.881</v>
      </c>
      <c r="D23" s="69">
        <f t="shared" si="11"/>
        <v>-59.281999999999982</v>
      </c>
      <c r="E23" s="69">
        <f t="shared" si="11"/>
        <v>-39</v>
      </c>
      <c r="F23" s="69">
        <f t="shared" si="11"/>
        <v>-22.029836799999941</v>
      </c>
      <c r="G23" s="69">
        <f t="shared" si="11"/>
        <v>-5.5583463795999819</v>
      </c>
      <c r="H23" s="70">
        <f t="shared" si="11"/>
        <v>6.0673983834760179</v>
      </c>
      <c r="I23" s="70">
        <f t="shared" si="11"/>
        <v>14.600569870453626</v>
      </c>
      <c r="J23" s="70">
        <f t="shared" si="11"/>
        <v>20.383582448725065</v>
      </c>
      <c r="K23" s="59"/>
      <c r="L23" s="59"/>
    </row>
    <row r="24" spans="1:12" ht="15" customHeight="1" x14ac:dyDescent="0.35">
      <c r="A24" s="59"/>
      <c r="B24" s="57" t="s">
        <v>71</v>
      </c>
      <c r="C24" s="71">
        <f t="shared" ref="C24:J24" si="12">C23/C6</f>
        <v>-0.17204668499540737</v>
      </c>
      <c r="D24" s="71">
        <f t="shared" si="12"/>
        <v>-0.18698351017524376</v>
      </c>
      <c r="E24" s="71">
        <f t="shared" si="12"/>
        <v>-0.12229539040451554</v>
      </c>
      <c r="F24" s="71">
        <f t="shared" si="12"/>
        <v>-6.8616163384299891E-2</v>
      </c>
      <c r="G24" s="71">
        <f t="shared" si="12"/>
        <v>-1.6766171563737612E-2</v>
      </c>
      <c r="H24" s="72">
        <f t="shared" si="12"/>
        <v>1.7833344716853883E-2</v>
      </c>
      <c r="I24" s="72">
        <f t="shared" si="12"/>
        <v>4.2131640962208963E-2</v>
      </c>
      <c r="J24" s="72">
        <f t="shared" si="12"/>
        <v>5.8277274828745229E-2</v>
      </c>
      <c r="K24" s="59"/>
      <c r="L24" s="59"/>
    </row>
    <row r="25" spans="1:12" ht="15" customHeight="1" x14ac:dyDescent="0.35">
      <c r="A25" s="59"/>
      <c r="B25" s="57" t="s">
        <v>72</v>
      </c>
      <c r="C25" s="62">
        <v>-19.431000000000001</v>
      </c>
      <c r="D25" s="62">
        <v>-21.443000000000001</v>
      </c>
      <c r="E25" s="62">
        <v>-18.5</v>
      </c>
      <c r="F25" s="73">
        <f>F6*F46</f>
        <v>-16.052950000000003</v>
      </c>
      <c r="G25" s="73">
        <f>G6*G46</f>
        <v>-14.918467589999999</v>
      </c>
      <c r="H25" s="73">
        <f>H6*H46</f>
        <v>-13.609109182400001</v>
      </c>
      <c r="I25" s="73">
        <f>I6*I46</f>
        <v>-12.129125137192</v>
      </c>
      <c r="J25" s="73">
        <f>J6*J46</f>
        <v>-10.493069129583359</v>
      </c>
      <c r="K25" s="59"/>
      <c r="L25" s="59"/>
    </row>
    <row r="26" spans="1:12" ht="15" customHeight="1" x14ac:dyDescent="0.35">
      <c r="A26" s="59"/>
      <c r="B26" s="64" t="s">
        <v>73</v>
      </c>
      <c r="C26" s="69">
        <f t="shared" ref="C26:J26" si="13">C23+C25</f>
        <v>-74.311999999999998</v>
      </c>
      <c r="D26" s="69">
        <f t="shared" si="13"/>
        <v>-80.72499999999998</v>
      </c>
      <c r="E26" s="69">
        <f t="shared" si="13"/>
        <v>-57.5</v>
      </c>
      <c r="F26" s="69">
        <f t="shared" si="13"/>
        <v>-38.082786799999944</v>
      </c>
      <c r="G26" s="69">
        <f t="shared" si="13"/>
        <v>-20.476813969599981</v>
      </c>
      <c r="H26" s="69">
        <f t="shared" si="13"/>
        <v>-7.5417107989239831</v>
      </c>
      <c r="I26" s="70">
        <f t="shared" si="13"/>
        <v>2.4714447332616256</v>
      </c>
      <c r="J26" s="70">
        <f t="shared" si="13"/>
        <v>9.8905133191417054</v>
      </c>
      <c r="K26" s="59"/>
      <c r="L26" s="59"/>
    </row>
    <row r="27" spans="1:12" ht="15" customHeight="1" x14ac:dyDescent="0.35">
      <c r="A27" s="59"/>
      <c r="B27" s="57" t="s">
        <v>74</v>
      </c>
      <c r="C27" s="62">
        <v>1.2569999999999999</v>
      </c>
      <c r="D27" s="62">
        <v>1.21</v>
      </c>
      <c r="E27" s="62">
        <v>1.8</v>
      </c>
      <c r="F27" s="63">
        <f>IF(F23&gt;0,F23*F47,0)</f>
        <v>0</v>
      </c>
      <c r="G27" s="63">
        <f>IF(G23&gt;0,G23*G47,0)</f>
        <v>0</v>
      </c>
      <c r="H27" s="63">
        <f>IF(H23&gt;0,H23*H47,0)</f>
        <v>1.2741536605299637</v>
      </c>
      <c r="I27" s="63">
        <f>IF(I23&gt;0,I23*I47,0)</f>
        <v>3.0661196727952613</v>
      </c>
      <c r="J27" s="63">
        <f>IF(J23&gt;0,J23*J47,0)</f>
        <v>4.2805523142322635</v>
      </c>
      <c r="K27" s="59"/>
      <c r="L27" s="59"/>
    </row>
    <row r="28" spans="1:12" ht="15" customHeight="1" x14ac:dyDescent="0.35">
      <c r="A28" s="59"/>
      <c r="B28" s="64" t="s">
        <v>75</v>
      </c>
      <c r="C28" s="69">
        <f t="shared" ref="C28:J28" si="14">C26-C27</f>
        <v>-75.569000000000003</v>
      </c>
      <c r="D28" s="69">
        <f t="shared" si="14"/>
        <v>-81.934999999999974</v>
      </c>
      <c r="E28" s="69">
        <f t="shared" si="14"/>
        <v>-59.3</v>
      </c>
      <c r="F28" s="69">
        <f t="shared" si="14"/>
        <v>-38.082786799999944</v>
      </c>
      <c r="G28" s="69">
        <f t="shared" si="14"/>
        <v>-20.476813969599981</v>
      </c>
      <c r="H28" s="69">
        <f t="shared" si="14"/>
        <v>-8.8158644594539464</v>
      </c>
      <c r="I28" s="70">
        <f t="shared" si="14"/>
        <v>-0.5946749395336357</v>
      </c>
      <c r="J28" s="70">
        <f t="shared" si="14"/>
        <v>5.6099610049094419</v>
      </c>
      <c r="K28" s="59"/>
      <c r="L28" s="59"/>
    </row>
    <row r="29" spans="1:12" ht="15" customHeight="1" x14ac:dyDescent="0.35">
      <c r="A29" s="59"/>
      <c r="B29" s="57" t="s">
        <v>76</v>
      </c>
      <c r="C29" s="71">
        <f t="shared" ref="C29:J29" si="15">C28/C6</f>
        <v>-0.23690158594810481</v>
      </c>
      <c r="D29" s="71">
        <f t="shared" si="15"/>
        <v>-0.25843416055815588</v>
      </c>
      <c r="E29" s="71">
        <f t="shared" si="15"/>
        <v>-0.18595170899968644</v>
      </c>
      <c r="F29" s="71">
        <f t="shared" si="15"/>
        <v>-0.11861616338429989</v>
      </c>
      <c r="G29" s="71">
        <f t="shared" si="15"/>
        <v>-6.1766171563737607E-2</v>
      </c>
      <c r="H29" s="71">
        <f t="shared" si="15"/>
        <v>-2.5911657673685435E-2</v>
      </c>
      <c r="I29" s="72">
        <f t="shared" si="15"/>
        <v>-1.7160036398549178E-3</v>
      </c>
      <c r="J29" s="72">
        <f t="shared" si="15"/>
        <v>1.6039047114708733E-2</v>
      </c>
      <c r="K29" s="59"/>
      <c r="L29" s="59"/>
    </row>
    <row r="30" spans="1:12" ht="4.5" customHeight="1" x14ac:dyDescent="0.35">
      <c r="A30" s="59"/>
      <c r="B30" s="57"/>
      <c r="C30" s="68"/>
      <c r="D30" s="68"/>
      <c r="E30" s="68"/>
      <c r="F30" s="68"/>
      <c r="G30" s="68"/>
      <c r="H30" s="68"/>
      <c r="I30" s="68"/>
      <c r="J30" s="68"/>
      <c r="K30" s="59"/>
      <c r="L30" s="59"/>
    </row>
    <row r="31" spans="1:12" ht="15" customHeight="1" x14ac:dyDescent="0.35">
      <c r="A31" s="59"/>
      <c r="B31" s="74" t="s">
        <v>77</v>
      </c>
      <c r="C31" s="74"/>
      <c r="D31" s="74"/>
      <c r="E31" s="74"/>
      <c r="F31" s="74"/>
      <c r="G31" s="74"/>
      <c r="H31" s="74"/>
      <c r="I31" s="74"/>
      <c r="J31" s="74"/>
      <c r="K31" s="59"/>
      <c r="L31" s="59"/>
    </row>
    <row r="32" spans="1:12" ht="15" customHeight="1" x14ac:dyDescent="0.35">
      <c r="A32" s="59"/>
      <c r="B32" s="57" t="s">
        <v>78</v>
      </c>
      <c r="C32" s="62">
        <v>64.347999999999999</v>
      </c>
      <c r="D32" s="62">
        <v>59.366</v>
      </c>
      <c r="E32" s="62">
        <v>56.1</v>
      </c>
      <c r="F32" s="63">
        <f>F6*F48</f>
        <v>51.369440000000004</v>
      </c>
      <c r="G32" s="63">
        <f>G6*G48</f>
        <v>46.413010280000002</v>
      </c>
      <c r="H32" s="63">
        <f>H6*H48</f>
        <v>44.229604842800001</v>
      </c>
      <c r="I32" s="63">
        <f>I6*I48</f>
        <v>41.585571898943996</v>
      </c>
      <c r="J32" s="63">
        <f>J6*J48</f>
        <v>38.474586808472317</v>
      </c>
      <c r="K32" s="59"/>
      <c r="L32" s="59"/>
    </row>
    <row r="33" spans="1:12" ht="15" customHeight="1" x14ac:dyDescent="0.35">
      <c r="A33" s="59"/>
      <c r="B33" s="57" t="s">
        <v>79</v>
      </c>
      <c r="C33" s="68">
        <f>C32/C6</f>
        <v>0.20172482436698444</v>
      </c>
      <c r="D33" s="68">
        <f>D32/D6</f>
        <v>0.1872484576273325</v>
      </c>
      <c r="E33" s="68">
        <f>E32/E6</f>
        <v>0.17591721542803387</v>
      </c>
      <c r="F33" s="68">
        <f>F48</f>
        <v>0.16</v>
      </c>
      <c r="G33" s="68">
        <f>G48</f>
        <v>0.14000000000000001</v>
      </c>
      <c r="H33" s="68">
        <f>H48</f>
        <v>0.13</v>
      </c>
      <c r="I33" s="68">
        <f>I48</f>
        <v>0.12</v>
      </c>
      <c r="J33" s="68">
        <f>J48</f>
        <v>0.11</v>
      </c>
      <c r="K33" s="59"/>
      <c r="L33" s="59"/>
    </row>
    <row r="34" spans="1:12" ht="15" customHeight="1" x14ac:dyDescent="0.35">
      <c r="A34" s="59"/>
      <c r="B34" s="57" t="s">
        <v>80</v>
      </c>
      <c r="C34" s="62">
        <v>11.734</v>
      </c>
      <c r="D34" s="62">
        <v>9.4450000000000003</v>
      </c>
      <c r="E34" s="62">
        <v>10</v>
      </c>
      <c r="F34" s="63">
        <f>F6*F49</f>
        <v>11.237065000000001</v>
      </c>
      <c r="G34" s="63">
        <f>G6*G49</f>
        <v>11.60325257</v>
      </c>
      <c r="H34" s="63">
        <f>H6*H49</f>
        <v>11.9079705346</v>
      </c>
      <c r="I34" s="63">
        <f>I6*I49</f>
        <v>12.129125137192</v>
      </c>
      <c r="J34" s="63">
        <f>J6*J49</f>
        <v>12.241913984513921</v>
      </c>
      <c r="K34" s="59"/>
      <c r="L34" s="59"/>
    </row>
    <row r="35" spans="1:12" ht="15" customHeight="1" x14ac:dyDescent="0.35">
      <c r="A35" s="59"/>
      <c r="B35" s="57" t="s">
        <v>81</v>
      </c>
      <c r="C35" s="68">
        <f>C34/C6</f>
        <v>3.6784967506716539E-2</v>
      </c>
      <c r="D35" s="68">
        <f>D34/D6</f>
        <v>2.9790817678303331E-2</v>
      </c>
      <c r="E35" s="68">
        <f>E34/E6</f>
        <v>3.1357792411414238E-2</v>
      </c>
      <c r="F35" s="68">
        <f>F49</f>
        <v>3.5000000000000003E-2</v>
      </c>
      <c r="G35" s="68">
        <f>G49</f>
        <v>3.5000000000000003E-2</v>
      </c>
      <c r="H35" s="68">
        <f>H49</f>
        <v>3.5000000000000003E-2</v>
      </c>
      <c r="I35" s="68">
        <f>I49</f>
        <v>3.5000000000000003E-2</v>
      </c>
      <c r="J35" s="68">
        <f>J49</f>
        <v>3.5000000000000003E-2</v>
      </c>
      <c r="K35" s="59"/>
      <c r="L35" s="59"/>
    </row>
    <row r="36" spans="1:12" ht="4.5" customHeight="1" x14ac:dyDescent="0.35">
      <c r="A36" s="59"/>
      <c r="B36" s="57"/>
      <c r="C36" s="68"/>
      <c r="D36" s="68"/>
      <c r="E36" s="68"/>
      <c r="F36" s="68"/>
      <c r="G36" s="68"/>
      <c r="H36" s="68"/>
      <c r="I36" s="68"/>
      <c r="J36" s="68"/>
      <c r="K36" s="59"/>
      <c r="L36" s="59"/>
    </row>
    <row r="37" spans="1:12" ht="15" customHeight="1" x14ac:dyDescent="0.35">
      <c r="A37" s="59"/>
      <c r="B37" s="74" t="s">
        <v>82</v>
      </c>
      <c r="C37" s="74"/>
      <c r="D37" s="74"/>
      <c r="E37" s="74"/>
      <c r="F37" s="74"/>
      <c r="G37" s="74"/>
      <c r="H37" s="74"/>
      <c r="I37" s="74"/>
      <c r="J37" s="74"/>
      <c r="K37" s="59"/>
      <c r="L37" s="59"/>
    </row>
    <row r="38" spans="1:12" ht="15" customHeight="1" x14ac:dyDescent="0.35">
      <c r="A38" s="59"/>
      <c r="B38" s="75" t="s">
        <v>83</v>
      </c>
      <c r="C38" s="177" t="s">
        <v>54</v>
      </c>
      <c r="D38" s="177" t="s">
        <v>54</v>
      </c>
      <c r="E38" s="177" t="s">
        <v>54</v>
      </c>
      <c r="F38" s="76">
        <v>1.2E-2</v>
      </c>
      <c r="G38" s="76">
        <v>3.7999999999999999E-2</v>
      </c>
      <c r="H38" s="76">
        <v>0.03</v>
      </c>
      <c r="I38" s="76">
        <v>0.02</v>
      </c>
      <c r="J38" s="77">
        <v>0.01</v>
      </c>
      <c r="K38" s="59"/>
      <c r="L38" s="59"/>
    </row>
    <row r="39" spans="1:12" ht="15" customHeight="1" x14ac:dyDescent="0.35">
      <c r="A39" s="59"/>
      <c r="B39" s="78" t="s">
        <v>84</v>
      </c>
      <c r="C39" s="178" t="s">
        <v>54</v>
      </c>
      <c r="D39" s="178" t="s">
        <v>54</v>
      </c>
      <c r="E39" s="178" t="s">
        <v>54</v>
      </c>
      <c r="F39" s="79">
        <v>-0.05</v>
      </c>
      <c r="G39" s="79">
        <v>-0.03</v>
      </c>
      <c r="H39" s="79">
        <v>-0.02</v>
      </c>
      <c r="I39" s="79">
        <v>0</v>
      </c>
      <c r="J39" s="80">
        <v>0</v>
      </c>
      <c r="K39" s="59"/>
      <c r="L39" s="59"/>
    </row>
    <row r="40" spans="1:12" ht="15" customHeight="1" x14ac:dyDescent="0.35">
      <c r="A40" s="59"/>
      <c r="B40" s="78" t="s">
        <v>85</v>
      </c>
      <c r="C40" s="79">
        <v>0.161</v>
      </c>
      <c r="D40" s="79">
        <v>0.187</v>
      </c>
      <c r="E40" s="79">
        <v>0.16800000000000001</v>
      </c>
      <c r="F40" s="79">
        <v>0.17749999999999999</v>
      </c>
      <c r="G40" s="79">
        <v>0.17499999999999999</v>
      </c>
      <c r="H40" s="79">
        <v>0.17</v>
      </c>
      <c r="I40" s="79">
        <v>0.16</v>
      </c>
      <c r="J40" s="80">
        <v>0.15</v>
      </c>
      <c r="K40" s="59"/>
      <c r="L40" s="59"/>
    </row>
    <row r="41" spans="1:12" ht="15" customHeight="1" x14ac:dyDescent="0.35">
      <c r="A41" s="59"/>
      <c r="B41" s="78" t="s">
        <v>86</v>
      </c>
      <c r="C41" s="79">
        <v>0.879</v>
      </c>
      <c r="D41" s="79">
        <v>0.88300000000000001</v>
      </c>
      <c r="E41" s="79">
        <v>0.87</v>
      </c>
      <c r="F41" s="79">
        <v>0.88</v>
      </c>
      <c r="G41" s="79">
        <v>0.87</v>
      </c>
      <c r="H41" s="79">
        <v>0.86</v>
      </c>
      <c r="I41" s="79">
        <v>0.85</v>
      </c>
      <c r="J41" s="80">
        <v>0.84</v>
      </c>
      <c r="K41" s="59"/>
      <c r="L41" s="59"/>
    </row>
    <row r="42" spans="1:12" ht="15" customHeight="1" x14ac:dyDescent="0.35">
      <c r="A42" s="59"/>
      <c r="B42" s="78" t="s">
        <v>87</v>
      </c>
      <c r="C42" s="79">
        <v>0.51400000000000001</v>
      </c>
      <c r="D42" s="79">
        <v>0.47799999999999998</v>
      </c>
      <c r="E42" s="79">
        <v>0.44500000000000001</v>
      </c>
      <c r="F42" s="79">
        <v>0.44679999999999997</v>
      </c>
      <c r="G42" s="79">
        <v>0.43009999999999998</v>
      </c>
      <c r="H42" s="79">
        <v>0.41899999999999998</v>
      </c>
      <c r="I42" s="79">
        <v>0.41349999999999998</v>
      </c>
      <c r="J42" s="80">
        <v>0.4163</v>
      </c>
      <c r="K42" s="59"/>
      <c r="L42" s="59"/>
    </row>
    <row r="43" spans="1:12" ht="15" customHeight="1" x14ac:dyDescent="0.35">
      <c r="A43" s="59"/>
      <c r="B43" s="78" t="s">
        <v>88</v>
      </c>
      <c r="C43" s="79">
        <v>0.26700000000000002</v>
      </c>
      <c r="D43" s="79">
        <v>0.27700000000000002</v>
      </c>
      <c r="E43" s="79">
        <v>0.24199999999999999</v>
      </c>
      <c r="F43" s="79">
        <v>0.2334</v>
      </c>
      <c r="G43" s="79">
        <v>0.22470000000000001</v>
      </c>
      <c r="H43" s="79">
        <v>0.21890000000000001</v>
      </c>
      <c r="I43" s="79">
        <v>0.216</v>
      </c>
      <c r="J43" s="80">
        <v>0.2175</v>
      </c>
      <c r="K43" s="59"/>
      <c r="L43" s="59"/>
    </row>
    <row r="44" spans="1:12" ht="15" customHeight="1" x14ac:dyDescent="0.35">
      <c r="A44" s="59"/>
      <c r="B44" s="78" t="s">
        <v>89</v>
      </c>
      <c r="C44" s="79">
        <v>0.155</v>
      </c>
      <c r="D44" s="79">
        <v>0.17599999999999999</v>
      </c>
      <c r="E44" s="79">
        <v>0.186</v>
      </c>
      <c r="F44" s="79">
        <v>0.155</v>
      </c>
      <c r="G44" s="79">
        <v>0.13500000000000001</v>
      </c>
      <c r="H44" s="79">
        <v>0.125</v>
      </c>
      <c r="I44" s="79">
        <v>0.12</v>
      </c>
      <c r="J44" s="80">
        <v>0.11</v>
      </c>
      <c r="K44" s="59"/>
      <c r="L44" s="59"/>
    </row>
    <row r="45" spans="1:12" ht="15" customHeight="1" x14ac:dyDescent="0.35">
      <c r="A45" s="59"/>
      <c r="B45" s="78" t="s">
        <v>90</v>
      </c>
      <c r="C45" s="79">
        <v>2.1000000000000001E-2</v>
      </c>
      <c r="D45" s="79">
        <v>2.9000000000000001E-2</v>
      </c>
      <c r="E45" s="79">
        <v>4.5999999999999999E-2</v>
      </c>
      <c r="F45" s="79">
        <v>0.05</v>
      </c>
      <c r="G45" s="79">
        <v>0.04</v>
      </c>
      <c r="H45" s="79">
        <v>0.03</v>
      </c>
      <c r="I45" s="79">
        <v>2.5000000000000001E-2</v>
      </c>
      <c r="J45" s="80">
        <v>0.02</v>
      </c>
      <c r="K45" s="59"/>
      <c r="L45" s="59"/>
    </row>
    <row r="46" spans="1:12" ht="15" customHeight="1" x14ac:dyDescent="0.35">
      <c r="A46" s="59"/>
      <c r="B46" s="78" t="s">
        <v>91</v>
      </c>
      <c r="C46" s="79">
        <v>-6.0999999999999999E-2</v>
      </c>
      <c r="D46" s="79">
        <v>-6.8000000000000005E-2</v>
      </c>
      <c r="E46" s="79">
        <v>-5.8000000000000003E-2</v>
      </c>
      <c r="F46" s="79">
        <v>-0.05</v>
      </c>
      <c r="G46" s="79">
        <v>-4.4999999999999998E-2</v>
      </c>
      <c r="H46" s="79">
        <v>-0.04</v>
      </c>
      <c r="I46" s="79">
        <v>-3.5000000000000003E-2</v>
      </c>
      <c r="J46" s="80">
        <v>-0.03</v>
      </c>
      <c r="K46" s="59"/>
      <c r="L46" s="59"/>
    </row>
    <row r="47" spans="1:12" ht="15" customHeight="1" x14ac:dyDescent="0.35">
      <c r="A47" s="59"/>
      <c r="B47" s="78" t="s">
        <v>92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0.21</v>
      </c>
      <c r="I47" s="79">
        <v>0.21</v>
      </c>
      <c r="J47" s="80">
        <v>0.21</v>
      </c>
      <c r="K47" s="59"/>
      <c r="L47" s="59"/>
    </row>
    <row r="48" spans="1:12" ht="15" customHeight="1" x14ac:dyDescent="0.35">
      <c r="A48" s="59"/>
      <c r="B48" s="78" t="s">
        <v>93</v>
      </c>
      <c r="C48" s="79">
        <v>0.20200000000000001</v>
      </c>
      <c r="D48" s="79">
        <v>0.187</v>
      </c>
      <c r="E48" s="79">
        <v>0.17599999999999999</v>
      </c>
      <c r="F48" s="79">
        <v>0.16</v>
      </c>
      <c r="G48" s="79">
        <v>0.14000000000000001</v>
      </c>
      <c r="H48" s="79">
        <v>0.13</v>
      </c>
      <c r="I48" s="79">
        <v>0.12</v>
      </c>
      <c r="J48" s="80">
        <v>0.11</v>
      </c>
      <c r="K48" s="59"/>
      <c r="L48" s="59"/>
    </row>
    <row r="49" spans="1:12" ht="15" customHeight="1" x14ac:dyDescent="0.35">
      <c r="A49" s="59"/>
      <c r="B49" s="81" t="s">
        <v>94</v>
      </c>
      <c r="C49" s="82">
        <v>3.6999999999999998E-2</v>
      </c>
      <c r="D49" s="82">
        <v>0.03</v>
      </c>
      <c r="E49" s="82">
        <v>3.1E-2</v>
      </c>
      <c r="F49" s="82">
        <v>3.5000000000000003E-2</v>
      </c>
      <c r="G49" s="82">
        <v>3.5000000000000003E-2</v>
      </c>
      <c r="H49" s="82">
        <v>3.5000000000000003E-2</v>
      </c>
      <c r="I49" s="82">
        <v>3.5000000000000003E-2</v>
      </c>
      <c r="J49" s="83">
        <v>3.5000000000000003E-2</v>
      </c>
      <c r="K49" s="59"/>
      <c r="L49" s="59"/>
    </row>
    <row r="50" spans="1:12" ht="15" customHeight="1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12" x14ac:dyDescent="0.3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1E5F5"/>
  </sheetPr>
  <dimension ref="A1:K68"/>
  <sheetViews>
    <sheetView showGridLines="0" zoomScaleNormal="100" workbookViewId="0"/>
  </sheetViews>
  <sheetFormatPr defaultColWidth="8.6328125" defaultRowHeight="14.5" x14ac:dyDescent="0.35"/>
  <cols>
    <col min="1" max="1" width="2.6328125" style="56" customWidth="1"/>
    <col min="2" max="2" width="36" style="56" customWidth="1"/>
    <col min="3" max="10" width="11" style="56" customWidth="1"/>
    <col min="11" max="11" width="65" style="56" customWidth="1"/>
    <col min="12" max="16384" width="8.6328125" style="56"/>
  </cols>
  <sheetData>
    <row r="1" spans="1:11" ht="15.75" customHeight="1" x14ac:dyDescent="0.35">
      <c r="A1" s="57"/>
      <c r="B1" s="58" t="s">
        <v>95</v>
      </c>
      <c r="C1" s="58"/>
      <c r="D1" s="58"/>
      <c r="E1" s="58"/>
      <c r="F1" s="58"/>
      <c r="G1" s="58"/>
      <c r="H1" s="58"/>
      <c r="I1" s="58"/>
      <c r="J1" s="58"/>
      <c r="K1" s="57"/>
    </row>
    <row r="2" spans="1:11" ht="13.5" customHeight="1" x14ac:dyDescent="0.35">
      <c r="B2" s="60"/>
      <c r="C2" s="60">
        <v>2024</v>
      </c>
      <c r="D2" s="60">
        <f>IS!D2</f>
        <v>2025</v>
      </c>
      <c r="E2" s="60">
        <f>IS!E2</f>
        <v>2026</v>
      </c>
      <c r="F2" s="60" t="s">
        <v>44</v>
      </c>
      <c r="G2" s="60" t="s">
        <v>45</v>
      </c>
      <c r="H2" s="60" t="s">
        <v>46</v>
      </c>
      <c r="I2" s="60" t="s">
        <v>47</v>
      </c>
      <c r="J2" s="60" t="s">
        <v>48</v>
      </c>
      <c r="K2" s="59"/>
    </row>
    <row r="3" spans="1:11" ht="4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59"/>
    </row>
    <row r="4" spans="1:11" ht="15" customHeight="1" x14ac:dyDescent="0.35">
      <c r="B4" s="74" t="s">
        <v>96</v>
      </c>
      <c r="C4" s="74"/>
      <c r="D4" s="74"/>
      <c r="E4" s="74"/>
      <c r="F4" s="74"/>
      <c r="G4" s="74"/>
      <c r="H4" s="74"/>
      <c r="I4" s="74"/>
      <c r="J4" s="74"/>
      <c r="K4" s="59"/>
    </row>
    <row r="5" spans="1:11" ht="15" customHeight="1" x14ac:dyDescent="0.35">
      <c r="B5" s="64" t="s">
        <v>97</v>
      </c>
      <c r="C5" s="59"/>
      <c r="D5" s="59"/>
      <c r="E5" s="59"/>
      <c r="F5" s="59"/>
      <c r="G5" s="59"/>
      <c r="H5" s="59"/>
      <c r="I5" s="59"/>
      <c r="J5" s="59"/>
      <c r="K5" s="59"/>
    </row>
    <row r="6" spans="1:11" ht="15" customHeight="1" x14ac:dyDescent="0.35">
      <c r="B6" s="57" t="s">
        <v>98</v>
      </c>
      <c r="C6" s="62">
        <v>60.939</v>
      </c>
      <c r="D6" s="62">
        <v>45.264000000000003</v>
      </c>
      <c r="E6" s="62">
        <v>43</v>
      </c>
      <c r="F6" s="85">
        <f>'Cash Flow'!F43</f>
        <v>62.634828432876731</v>
      </c>
      <c r="G6" s="85">
        <f>'Cash Flow'!G43</f>
        <v>87.65932185905757</v>
      </c>
      <c r="H6" s="85">
        <f>'Cash Flow'!H43</f>
        <v>118.73983595506445</v>
      </c>
      <c r="I6" s="85">
        <f>'Cash Flow'!I43</f>
        <v>155.68318742089269</v>
      </c>
      <c r="J6" s="85">
        <f>'Cash Flow'!J43</f>
        <v>191.55830245379235</v>
      </c>
      <c r="K6" s="59"/>
    </row>
    <row r="7" spans="1:11" ht="15" customHeight="1" x14ac:dyDescent="0.35">
      <c r="B7" s="57" t="s">
        <v>99</v>
      </c>
      <c r="C7" s="62">
        <v>67.197000000000003</v>
      </c>
      <c r="D7" s="62">
        <v>71.543999999999997</v>
      </c>
      <c r="E7" s="62">
        <v>85.5</v>
      </c>
      <c r="F7" s="85">
        <f>IS!F6*F40/365</f>
        <v>79.165232876712338</v>
      </c>
      <c r="G7" s="85">
        <f>IS!G6*G40/365</f>
        <v>79.928471715068497</v>
      </c>
      <c r="H7" s="85">
        <f>IS!H6*H40/365</f>
        <v>79.231115103013707</v>
      </c>
      <c r="I7" s="85">
        <f>IS!I6*I40/365</f>
        <v>77.85426702542027</v>
      </c>
      <c r="J7" s="85">
        <f>IS!J6*J40/365</f>
        <v>76.661692270928654</v>
      </c>
      <c r="K7" s="59"/>
    </row>
    <row r="8" spans="1:11" ht="15" customHeight="1" x14ac:dyDescent="0.35">
      <c r="B8" s="57" t="s">
        <v>100</v>
      </c>
      <c r="C8" s="62">
        <v>25.608000000000001</v>
      </c>
      <c r="D8" s="62">
        <v>24.869</v>
      </c>
      <c r="E8" s="62">
        <v>25.2</v>
      </c>
      <c r="F8" s="85">
        <f>IS!F6*F43</f>
        <v>24.721543</v>
      </c>
      <c r="G8" s="85">
        <f>IS!G6*G43</f>
        <v>24.864112649999999</v>
      </c>
      <c r="H8" s="85">
        <f>IS!H6*H43</f>
        <v>24.836624257879997</v>
      </c>
      <c r="I8" s="85">
        <f>IS!I6*I43</f>
        <v>24.604796706875199</v>
      </c>
      <c r="J8" s="85">
        <f>IS!J6*J43</f>
        <v>24.483827969027843</v>
      </c>
      <c r="K8" s="59"/>
    </row>
    <row r="9" spans="1:11" ht="15" customHeight="1" x14ac:dyDescent="0.35">
      <c r="B9" s="64" t="s">
        <v>101</v>
      </c>
      <c r="C9" s="65">
        <f t="shared" ref="C9:J9" si="0">SUM(C6:C8)</f>
        <v>153.744</v>
      </c>
      <c r="D9" s="65">
        <f t="shared" si="0"/>
        <v>141.67699999999999</v>
      </c>
      <c r="E9" s="65">
        <f t="shared" si="0"/>
        <v>153.69999999999999</v>
      </c>
      <c r="F9" s="65">
        <f t="shared" si="0"/>
        <v>166.52160430958907</v>
      </c>
      <c r="G9" s="65">
        <f t="shared" si="0"/>
        <v>192.45190622412608</v>
      </c>
      <c r="H9" s="65">
        <f t="shared" si="0"/>
        <v>222.80757531595816</v>
      </c>
      <c r="I9" s="65">
        <f t="shared" si="0"/>
        <v>258.14225115318817</v>
      </c>
      <c r="J9" s="65">
        <f t="shared" si="0"/>
        <v>292.70382269374886</v>
      </c>
      <c r="K9" s="59"/>
    </row>
    <row r="10" spans="1:11" ht="15" customHeight="1" x14ac:dyDescent="0.35">
      <c r="B10" s="64" t="s">
        <v>102</v>
      </c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5" customHeight="1" x14ac:dyDescent="0.35">
      <c r="B11" s="57" t="s">
        <v>103</v>
      </c>
      <c r="C11" s="62">
        <v>27.003</v>
      </c>
      <c r="D11" s="62">
        <v>28.625</v>
      </c>
      <c r="E11" s="62">
        <v>40</v>
      </c>
      <c r="F11" s="85">
        <f>E11+IS!F34-IS!F21</f>
        <v>35.184114999999998</v>
      </c>
      <c r="G11" s="85">
        <f>F11+IS!G34-IS!G21</f>
        <v>33.52650749</v>
      </c>
      <c r="H11" s="85">
        <f>G11+IS!H34-IS!H21</f>
        <v>35.227646137799994</v>
      </c>
      <c r="I11" s="85">
        <f>H11+IS!I34-IS!I21</f>
        <v>38.693110462711992</v>
      </c>
      <c r="J11" s="85">
        <f>I11+IS!J34-IS!J21</f>
        <v>43.939645027503673</v>
      </c>
      <c r="K11" s="59"/>
    </row>
    <row r="12" spans="1:11" ht="15" customHeight="1" x14ac:dyDescent="0.35">
      <c r="B12" s="57" t="s">
        <v>104</v>
      </c>
      <c r="C12" s="62">
        <v>44.912999999999997</v>
      </c>
      <c r="D12" s="62">
        <v>44.037999999999997</v>
      </c>
      <c r="E12" s="62">
        <v>51.5</v>
      </c>
      <c r="F12" s="85">
        <f>IS!F6*F45</f>
        <v>49.764145000000006</v>
      </c>
      <c r="G12" s="85">
        <f>IS!G6*G45</f>
        <v>49.728225299999998</v>
      </c>
      <c r="H12" s="85">
        <f>IS!H6*H45</f>
        <v>49.333020786199995</v>
      </c>
      <c r="I12" s="85">
        <f>IS!I6*I45</f>
        <v>48.516500548768001</v>
      </c>
      <c r="J12" s="85">
        <f>IS!J6*J45</f>
        <v>47.218811083125118</v>
      </c>
      <c r="K12" s="59"/>
    </row>
    <row r="13" spans="1:11" ht="15" customHeight="1" x14ac:dyDescent="0.35">
      <c r="B13" s="57" t="s">
        <v>105</v>
      </c>
      <c r="C13" s="86">
        <f>C35-C6-C7-C8-C11-C12</f>
        <v>0.18000000000003524</v>
      </c>
      <c r="D13" s="86">
        <f>D35-D6-D7-D8-D11-D12</f>
        <v>0.66900000000001114</v>
      </c>
      <c r="E13" s="86">
        <f>E35-E6-E7-E8-E11-E12</f>
        <v>-7.1054273576010019E-14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59"/>
    </row>
    <row r="14" spans="1:11" ht="15" customHeight="1" x14ac:dyDescent="0.35">
      <c r="B14" s="64" t="s">
        <v>106</v>
      </c>
      <c r="C14" s="65">
        <f t="shared" ref="C14:J14" si="1">C11+C12+C13</f>
        <v>72.096000000000032</v>
      </c>
      <c r="D14" s="65">
        <f t="shared" si="1"/>
        <v>73.332000000000008</v>
      </c>
      <c r="E14" s="65">
        <f t="shared" si="1"/>
        <v>91.499999999999929</v>
      </c>
      <c r="F14" s="65">
        <f t="shared" si="1"/>
        <v>84.948260000000005</v>
      </c>
      <c r="G14" s="65">
        <f t="shared" si="1"/>
        <v>83.254732789999991</v>
      </c>
      <c r="H14" s="65">
        <f t="shared" si="1"/>
        <v>84.560666923999989</v>
      </c>
      <c r="I14" s="65">
        <f t="shared" si="1"/>
        <v>87.209611011479993</v>
      </c>
      <c r="J14" s="65">
        <f t="shared" si="1"/>
        <v>91.158456110628791</v>
      </c>
      <c r="K14" s="59"/>
    </row>
    <row r="15" spans="1:11" ht="15" customHeight="1" x14ac:dyDescent="0.35">
      <c r="B15" s="64" t="s">
        <v>107</v>
      </c>
      <c r="C15" s="87">
        <f t="shared" ref="C15:J15" si="2">C9+C14</f>
        <v>225.84000000000003</v>
      </c>
      <c r="D15" s="87">
        <f t="shared" si="2"/>
        <v>215.00900000000001</v>
      </c>
      <c r="E15" s="87">
        <f t="shared" si="2"/>
        <v>245.19999999999993</v>
      </c>
      <c r="F15" s="87">
        <f t="shared" si="2"/>
        <v>251.46986430958907</v>
      </c>
      <c r="G15" s="87">
        <f t="shared" si="2"/>
        <v>275.70663901412604</v>
      </c>
      <c r="H15" s="87">
        <f t="shared" si="2"/>
        <v>307.36824223995814</v>
      </c>
      <c r="I15" s="87">
        <f t="shared" si="2"/>
        <v>345.35186216466815</v>
      </c>
      <c r="J15" s="87">
        <f t="shared" si="2"/>
        <v>383.86227880437764</v>
      </c>
      <c r="K15" s="59"/>
    </row>
    <row r="16" spans="1:11" ht="4.5" customHeight="1" x14ac:dyDescent="0.35">
      <c r="B16" s="64"/>
      <c r="C16" s="70"/>
      <c r="D16" s="70"/>
      <c r="E16" s="70"/>
      <c r="F16" s="70"/>
      <c r="G16" s="70"/>
      <c r="H16" s="70"/>
      <c r="I16" s="70"/>
      <c r="J16" s="70"/>
      <c r="K16" s="59"/>
    </row>
    <row r="17" spans="2:11" ht="15" customHeight="1" x14ac:dyDescent="0.35">
      <c r="B17" s="74" t="s">
        <v>108</v>
      </c>
      <c r="C17" s="74"/>
      <c r="D17" s="74"/>
      <c r="E17" s="74"/>
      <c r="F17" s="74"/>
      <c r="G17" s="74"/>
      <c r="H17" s="74"/>
      <c r="I17" s="74"/>
      <c r="J17" s="74"/>
      <c r="K17" s="59"/>
    </row>
    <row r="18" spans="2:11" ht="15" customHeight="1" x14ac:dyDescent="0.35">
      <c r="B18" s="64" t="s">
        <v>109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2:11" ht="15" customHeight="1" x14ac:dyDescent="0.35">
      <c r="B19" s="57" t="s">
        <v>110</v>
      </c>
      <c r="C19" s="62">
        <v>4.3129999999999997</v>
      </c>
      <c r="D19" s="62">
        <v>10.032999999999999</v>
      </c>
      <c r="E19" s="62">
        <v>18.8</v>
      </c>
      <c r="F19" s="85">
        <f>IS!F11*F41/365</f>
        <v>15.39870410958904</v>
      </c>
      <c r="G19" s="85">
        <f>IS!G11*G41/365</f>
        <v>14.842684819726028</v>
      </c>
      <c r="H19" s="85">
        <f>IS!H11*H41/365</f>
        <v>14.306963673052056</v>
      </c>
      <c r="I19" s="85">
        <f>IS!I11*I41/365</f>
        <v>13.452693643463716</v>
      </c>
      <c r="J19" s="85">
        <f>IS!J11*J41/365</f>
        <v>12.328136478533128</v>
      </c>
      <c r="K19" s="59"/>
    </row>
    <row r="20" spans="2:11" ht="15" customHeight="1" x14ac:dyDescent="0.35">
      <c r="B20" s="57" t="s">
        <v>111</v>
      </c>
      <c r="C20" s="62">
        <v>0</v>
      </c>
      <c r="D20" s="62">
        <v>0</v>
      </c>
      <c r="E20" s="62">
        <v>7.5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59"/>
    </row>
    <row r="21" spans="2:11" ht="15" customHeight="1" x14ac:dyDescent="0.35">
      <c r="B21" s="57" t="s">
        <v>112</v>
      </c>
      <c r="C21" s="62">
        <v>185.25</v>
      </c>
      <c r="D21" s="62">
        <v>178.27600000000001</v>
      </c>
      <c r="E21" s="62">
        <v>174.9</v>
      </c>
      <c r="F21" s="85">
        <f>IS!F6*F42</f>
        <v>173.37186000000003</v>
      </c>
      <c r="G21" s="85">
        <f>IS!G6*G42</f>
        <v>174.04878855000001</v>
      </c>
      <c r="H21" s="85">
        <f>IS!H6*H42</f>
        <v>173.51614207560002</v>
      </c>
      <c r="I21" s="85">
        <f>IS!I6*I42</f>
        <v>173.2732162456</v>
      </c>
      <c r="J21" s="85">
        <f>IS!J6*J42</f>
        <v>171.38679578319486</v>
      </c>
      <c r="K21" s="59"/>
    </row>
    <row r="22" spans="2:11" ht="15" customHeight="1" x14ac:dyDescent="0.35">
      <c r="B22" s="57" t="s">
        <v>113</v>
      </c>
      <c r="C22" s="62">
        <v>48.237000000000002</v>
      </c>
      <c r="D22" s="62">
        <v>66.64</v>
      </c>
      <c r="E22" s="62">
        <v>77.599999999999994</v>
      </c>
      <c r="F22" s="85">
        <f>IS!F6*F44</f>
        <v>77.05416000000001</v>
      </c>
      <c r="G22" s="85">
        <f>IS!G6*G44</f>
        <v>76.249945460000006</v>
      </c>
      <c r="H22" s="85">
        <f>IS!H6*H44</f>
        <v>74.850100503199997</v>
      </c>
      <c r="I22" s="85">
        <f>IS!I6*I44</f>
        <v>74.507482985607993</v>
      </c>
      <c r="J22" s="85">
        <f>IS!J6*J44</f>
        <v>73.451483907083514</v>
      </c>
      <c r="K22" s="59"/>
    </row>
    <row r="23" spans="2:11" ht="15" customHeight="1" x14ac:dyDescent="0.35">
      <c r="B23" s="64" t="s">
        <v>114</v>
      </c>
      <c r="C23" s="65">
        <f t="shared" ref="C23:J23" si="3">SUM(C19:C22)</f>
        <v>237.79999999999998</v>
      </c>
      <c r="D23" s="65">
        <f t="shared" si="3"/>
        <v>254.94900000000001</v>
      </c>
      <c r="E23" s="65">
        <f t="shared" si="3"/>
        <v>278.8</v>
      </c>
      <c r="F23" s="65">
        <f t="shared" si="3"/>
        <v>265.82472410958906</v>
      </c>
      <c r="G23" s="65">
        <f t="shared" si="3"/>
        <v>265.14141882972604</v>
      </c>
      <c r="H23" s="65">
        <f t="shared" si="3"/>
        <v>262.67320625185209</v>
      </c>
      <c r="I23" s="65">
        <f t="shared" si="3"/>
        <v>261.23339287467172</v>
      </c>
      <c r="J23" s="65">
        <f t="shared" si="3"/>
        <v>257.16641616881151</v>
      </c>
      <c r="K23" s="59"/>
    </row>
    <row r="24" spans="2:11" ht="15" customHeight="1" x14ac:dyDescent="0.35">
      <c r="B24" s="64" t="s">
        <v>115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2:11" ht="15" customHeight="1" x14ac:dyDescent="0.35">
      <c r="B25" s="57" t="s">
        <v>116</v>
      </c>
      <c r="C25" s="62">
        <v>113.53400000000001</v>
      </c>
      <c r="D25" s="62">
        <v>117.66800000000001</v>
      </c>
      <c r="E25" s="62">
        <v>132.19999999999999</v>
      </c>
      <c r="F25" s="63">
        <f>E25</f>
        <v>132.19999999999999</v>
      </c>
      <c r="G25" s="63">
        <f>F25</f>
        <v>132.19999999999999</v>
      </c>
      <c r="H25" s="63">
        <f>G25</f>
        <v>132.19999999999999</v>
      </c>
      <c r="I25" s="63">
        <f>H25</f>
        <v>132.19999999999999</v>
      </c>
      <c r="J25" s="63">
        <f>I25</f>
        <v>132.19999999999999</v>
      </c>
      <c r="K25" s="59"/>
    </row>
    <row r="26" spans="2:11" ht="15" customHeight="1" x14ac:dyDescent="0.35">
      <c r="B26" s="57" t="s">
        <v>117</v>
      </c>
      <c r="C26" s="62">
        <v>2.7360000000000002</v>
      </c>
      <c r="D26" s="62">
        <v>2.8279999999999998</v>
      </c>
      <c r="E26" s="62">
        <v>6</v>
      </c>
      <c r="F26" s="85">
        <f>IS!F6*F47</f>
        <v>5.7790619999999997</v>
      </c>
      <c r="G26" s="85">
        <f>IS!G6*G47</f>
        <v>5.6358655340000006</v>
      </c>
      <c r="H26" s="85">
        <f>IS!H6*H47</f>
        <v>5.4436436729600004</v>
      </c>
      <c r="I26" s="85">
        <f>IS!I6*I47</f>
        <v>5.1981964873679996</v>
      </c>
      <c r="J26" s="85">
        <f>IS!J6*J47</f>
        <v>5.2465345647916797</v>
      </c>
      <c r="K26" s="59"/>
    </row>
    <row r="27" spans="2:11" ht="15" customHeight="1" x14ac:dyDescent="0.35">
      <c r="B27" s="57" t="s">
        <v>118</v>
      </c>
      <c r="C27" s="62">
        <v>25.135999999999999</v>
      </c>
      <c r="D27" s="62">
        <v>16.140999999999998</v>
      </c>
      <c r="E27" s="62">
        <v>17.899999999999999</v>
      </c>
      <c r="F27" s="85">
        <f>IS!F6*F46</f>
        <v>24.079425000000001</v>
      </c>
      <c r="G27" s="85">
        <f>IS!G6*G46</f>
        <v>23.206505140000001</v>
      </c>
      <c r="H27" s="85">
        <f>IS!H6*H46</f>
        <v>22.1148024214</v>
      </c>
      <c r="I27" s="85">
        <f>IS!I6*I46</f>
        <v>20.792785949471998</v>
      </c>
      <c r="J27" s="85">
        <f>IS!J6*J46</f>
        <v>19.237293404236159</v>
      </c>
      <c r="K27" s="59"/>
    </row>
    <row r="28" spans="2:11" ht="15" customHeight="1" x14ac:dyDescent="0.35">
      <c r="B28" s="64" t="s">
        <v>119</v>
      </c>
      <c r="C28" s="65">
        <f t="shared" ref="C28:J28" si="4">SUM(C25:C27)</f>
        <v>141.40600000000001</v>
      </c>
      <c r="D28" s="65">
        <f t="shared" si="4"/>
        <v>136.637</v>
      </c>
      <c r="E28" s="65">
        <f t="shared" si="4"/>
        <v>156.1</v>
      </c>
      <c r="F28" s="65">
        <f t="shared" si="4"/>
        <v>162.05848700000001</v>
      </c>
      <c r="G28" s="65">
        <f t="shared" si="4"/>
        <v>161.04237067399998</v>
      </c>
      <c r="H28" s="65">
        <f t="shared" si="4"/>
        <v>159.75844609436001</v>
      </c>
      <c r="I28" s="65">
        <f t="shared" si="4"/>
        <v>158.19098243683999</v>
      </c>
      <c r="J28" s="65">
        <f t="shared" si="4"/>
        <v>156.68382796902785</v>
      </c>
      <c r="K28" s="59"/>
    </row>
    <row r="29" spans="2:11" ht="15" customHeight="1" x14ac:dyDescent="0.35">
      <c r="B29" s="64" t="s">
        <v>120</v>
      </c>
      <c r="C29" s="87">
        <f t="shared" ref="C29:J29" si="5">C23+C28</f>
        <v>379.20600000000002</v>
      </c>
      <c r="D29" s="87">
        <f t="shared" si="5"/>
        <v>391.58600000000001</v>
      </c>
      <c r="E29" s="87">
        <f t="shared" si="5"/>
        <v>434.9</v>
      </c>
      <c r="F29" s="87">
        <f t="shared" si="5"/>
        <v>427.88321110958907</v>
      </c>
      <c r="G29" s="87">
        <f t="shared" si="5"/>
        <v>426.18378950372602</v>
      </c>
      <c r="H29" s="87">
        <f t="shared" si="5"/>
        <v>422.4316523462121</v>
      </c>
      <c r="I29" s="87">
        <f t="shared" si="5"/>
        <v>419.42437531151171</v>
      </c>
      <c r="J29" s="87">
        <f t="shared" si="5"/>
        <v>413.85024413783935</v>
      </c>
      <c r="K29" s="59"/>
    </row>
    <row r="30" spans="2:11" ht="15" customHeight="1" x14ac:dyDescent="0.35"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2:11" ht="15" customHeight="1" x14ac:dyDescent="0.35">
      <c r="B31" s="64" t="s">
        <v>121</v>
      </c>
      <c r="C31" s="59"/>
      <c r="D31" s="59"/>
      <c r="E31" s="59"/>
      <c r="F31" s="59"/>
      <c r="G31" s="59"/>
      <c r="H31" s="59"/>
      <c r="I31" s="59"/>
      <c r="J31" s="59"/>
      <c r="K31" s="59"/>
    </row>
    <row r="32" spans="2:11" ht="15" customHeight="1" x14ac:dyDescent="0.35">
      <c r="B32" s="57" t="s">
        <v>122</v>
      </c>
      <c r="C32" s="62">
        <v>1252.2370000000001</v>
      </c>
      <c r="D32" s="62">
        <v>1310.961</v>
      </c>
      <c r="E32" s="62">
        <v>1357.2</v>
      </c>
      <c r="F32" s="85">
        <f>E32+IS!F32</f>
        <v>1408.56944</v>
      </c>
      <c r="G32" s="85">
        <f>F32+IS!G32</f>
        <v>1454.98245028</v>
      </c>
      <c r="H32" s="85">
        <f>G32+IS!H32</f>
        <v>1499.2120551227999</v>
      </c>
      <c r="I32" s="85">
        <f>H32+IS!I32</f>
        <v>1540.7976270217439</v>
      </c>
      <c r="J32" s="85">
        <f>I32+IS!J32</f>
        <v>1579.2722138302163</v>
      </c>
      <c r="K32" s="59"/>
    </row>
    <row r="33" spans="1:11" ht="15" customHeight="1" x14ac:dyDescent="0.35">
      <c r="B33" s="57" t="s">
        <v>123</v>
      </c>
      <c r="C33" s="62">
        <v>-1405.6030000000001</v>
      </c>
      <c r="D33" s="62">
        <v>-1487.538</v>
      </c>
      <c r="E33" s="62">
        <v>-1546.9</v>
      </c>
      <c r="F33" s="85">
        <f>E33+IS!F28</f>
        <v>-1584.9827868</v>
      </c>
      <c r="G33" s="85">
        <f>F33+IS!G28</f>
        <v>-1605.4596007696</v>
      </c>
      <c r="H33" s="85">
        <f>G33+IS!H28</f>
        <v>-1614.2754652290539</v>
      </c>
      <c r="I33" s="85">
        <f>H33+IS!I28</f>
        <v>-1614.8701401685876</v>
      </c>
      <c r="J33" s="85">
        <f>I33+IS!J28</f>
        <v>-1609.2601791636782</v>
      </c>
      <c r="K33" s="59"/>
    </row>
    <row r="34" spans="1:11" ht="15" customHeight="1" x14ac:dyDescent="0.35">
      <c r="B34" s="64" t="s">
        <v>124</v>
      </c>
      <c r="C34" s="65">
        <f t="shared" ref="C34:J34" si="6">C32+C33</f>
        <v>-153.36599999999999</v>
      </c>
      <c r="D34" s="65">
        <f t="shared" si="6"/>
        <v>-176.577</v>
      </c>
      <c r="E34" s="65">
        <f t="shared" si="6"/>
        <v>-189.70000000000005</v>
      </c>
      <c r="F34" s="65">
        <f t="shared" si="6"/>
        <v>-176.4133468</v>
      </c>
      <c r="G34" s="65">
        <f t="shared" si="6"/>
        <v>-150.47715048960004</v>
      </c>
      <c r="H34" s="65">
        <f t="shared" si="6"/>
        <v>-115.06341010625397</v>
      </c>
      <c r="I34" s="65">
        <f t="shared" si="6"/>
        <v>-74.072513146843676</v>
      </c>
      <c r="J34" s="65">
        <f t="shared" si="6"/>
        <v>-29.987965333461943</v>
      </c>
      <c r="K34" s="59"/>
    </row>
    <row r="35" spans="1:11" ht="15" customHeight="1" x14ac:dyDescent="0.35">
      <c r="B35" s="64" t="s">
        <v>125</v>
      </c>
      <c r="C35" s="87">
        <f t="shared" ref="C35:J35" si="7">C29+C34</f>
        <v>225.84000000000003</v>
      </c>
      <c r="D35" s="87">
        <f t="shared" si="7"/>
        <v>215.00900000000001</v>
      </c>
      <c r="E35" s="87">
        <f t="shared" si="7"/>
        <v>245.19999999999993</v>
      </c>
      <c r="F35" s="87">
        <f t="shared" si="7"/>
        <v>251.46986430958907</v>
      </c>
      <c r="G35" s="87">
        <f t="shared" si="7"/>
        <v>275.70663901412598</v>
      </c>
      <c r="H35" s="87">
        <f t="shared" si="7"/>
        <v>307.36824223995814</v>
      </c>
      <c r="I35" s="87">
        <f t="shared" si="7"/>
        <v>345.35186216466803</v>
      </c>
      <c r="J35" s="87">
        <f t="shared" si="7"/>
        <v>383.86227880437741</v>
      </c>
      <c r="K35" s="59"/>
    </row>
    <row r="36" spans="1:11" ht="4.5" customHeight="1" x14ac:dyDescent="0.35"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 x14ac:dyDescent="0.35">
      <c r="B37" s="74" t="s">
        <v>126</v>
      </c>
      <c r="C37" s="88">
        <f t="shared" ref="C37:J37" si="8">C15-C35</f>
        <v>0</v>
      </c>
      <c r="D37" s="88">
        <f t="shared" si="8"/>
        <v>0</v>
      </c>
      <c r="E37" s="88">
        <f t="shared" si="8"/>
        <v>0</v>
      </c>
      <c r="F37" s="88">
        <f t="shared" si="8"/>
        <v>0</v>
      </c>
      <c r="G37" s="88">
        <f t="shared" si="8"/>
        <v>0</v>
      </c>
      <c r="H37" s="88">
        <f t="shared" si="8"/>
        <v>0</v>
      </c>
      <c r="I37" s="88">
        <f t="shared" si="8"/>
        <v>0</v>
      </c>
      <c r="J37" s="88">
        <f t="shared" si="8"/>
        <v>0</v>
      </c>
      <c r="K37" s="59"/>
    </row>
    <row r="38" spans="1:11" ht="4.5" customHeight="1" x14ac:dyDescent="0.3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15" customHeight="1" x14ac:dyDescent="0.35">
      <c r="B39" s="74" t="s">
        <v>127</v>
      </c>
      <c r="C39" s="74"/>
      <c r="D39" s="74"/>
      <c r="E39" s="74"/>
      <c r="F39" s="74"/>
      <c r="G39" s="74"/>
      <c r="H39" s="74"/>
      <c r="I39" s="74"/>
      <c r="J39" s="74"/>
      <c r="K39" s="89"/>
    </row>
    <row r="40" spans="1:11" ht="15" customHeight="1" x14ac:dyDescent="0.35">
      <c r="B40" s="75" t="s">
        <v>128</v>
      </c>
      <c r="C40" s="90">
        <v>76.900000000000006</v>
      </c>
      <c r="D40" s="90">
        <v>82.4</v>
      </c>
      <c r="E40" s="90">
        <v>97.9</v>
      </c>
      <c r="F40" s="90">
        <v>90</v>
      </c>
      <c r="G40" s="90">
        <v>88</v>
      </c>
      <c r="H40" s="90">
        <v>85</v>
      </c>
      <c r="I40" s="90">
        <v>82</v>
      </c>
      <c r="J40" s="91">
        <v>80</v>
      </c>
      <c r="K40" s="89"/>
    </row>
    <row r="41" spans="1:11" ht="15" customHeight="1" x14ac:dyDescent="0.35">
      <c r="B41" s="78" t="s">
        <v>129</v>
      </c>
      <c r="C41" s="92">
        <v>20.9</v>
      </c>
      <c r="D41" s="92">
        <v>45.2</v>
      </c>
      <c r="E41" s="92">
        <v>86.1</v>
      </c>
      <c r="F41" s="92">
        <v>75</v>
      </c>
      <c r="G41" s="92">
        <v>72</v>
      </c>
      <c r="H41" s="92">
        <v>70</v>
      </c>
      <c r="I41" s="92">
        <v>68</v>
      </c>
      <c r="J41" s="93">
        <v>65</v>
      </c>
      <c r="K41" s="89"/>
    </row>
    <row r="42" spans="1:11" ht="15" customHeight="1" x14ac:dyDescent="0.35">
      <c r="B42" s="78" t="s">
        <v>130</v>
      </c>
      <c r="C42" s="79">
        <v>0.58099999999999996</v>
      </c>
      <c r="D42" s="79">
        <v>0.56200000000000006</v>
      </c>
      <c r="E42" s="79">
        <v>0.54900000000000004</v>
      </c>
      <c r="F42" s="79">
        <v>0.54</v>
      </c>
      <c r="G42" s="79">
        <v>0.52500000000000002</v>
      </c>
      <c r="H42" s="79">
        <v>0.51</v>
      </c>
      <c r="I42" s="79">
        <v>0.5</v>
      </c>
      <c r="J42" s="80">
        <v>0.49</v>
      </c>
      <c r="K42" s="89"/>
    </row>
    <row r="43" spans="1:11" ht="15" customHeight="1" x14ac:dyDescent="0.35">
      <c r="B43" s="78" t="s">
        <v>131</v>
      </c>
      <c r="C43" s="79">
        <v>0.08</v>
      </c>
      <c r="D43" s="79">
        <v>7.8E-2</v>
      </c>
      <c r="E43" s="79">
        <v>7.9000000000000001E-2</v>
      </c>
      <c r="F43" s="79">
        <v>7.6999999999999999E-2</v>
      </c>
      <c r="G43" s="79">
        <v>7.4999999999999997E-2</v>
      </c>
      <c r="H43" s="79">
        <v>7.2999999999999995E-2</v>
      </c>
      <c r="I43" s="79">
        <v>7.0999999999999994E-2</v>
      </c>
      <c r="J43" s="80">
        <v>7.0000000000000007E-2</v>
      </c>
      <c r="K43" s="89"/>
    </row>
    <row r="44" spans="1:11" ht="15" customHeight="1" x14ac:dyDescent="0.35">
      <c r="B44" s="78" t="s">
        <v>132</v>
      </c>
      <c r="C44" s="79">
        <v>0.151</v>
      </c>
      <c r="D44" s="79">
        <v>0.21</v>
      </c>
      <c r="E44" s="79">
        <v>0.24299999999999999</v>
      </c>
      <c r="F44" s="79">
        <v>0.24</v>
      </c>
      <c r="G44" s="79">
        <v>0.23</v>
      </c>
      <c r="H44" s="79">
        <v>0.22</v>
      </c>
      <c r="I44" s="79">
        <v>0.215</v>
      </c>
      <c r="J44" s="80">
        <v>0.21</v>
      </c>
      <c r="K44" s="89"/>
    </row>
    <row r="45" spans="1:11" ht="15" customHeight="1" x14ac:dyDescent="0.35">
      <c r="B45" s="78" t="s">
        <v>133</v>
      </c>
      <c r="C45" s="79">
        <v>0.14099999999999999</v>
      </c>
      <c r="D45" s="79">
        <v>0.13900000000000001</v>
      </c>
      <c r="E45" s="79">
        <v>0.16200000000000001</v>
      </c>
      <c r="F45" s="79">
        <v>0.155</v>
      </c>
      <c r="G45" s="79">
        <v>0.15</v>
      </c>
      <c r="H45" s="79">
        <v>0.14499999999999999</v>
      </c>
      <c r="I45" s="79">
        <v>0.14000000000000001</v>
      </c>
      <c r="J45" s="80">
        <v>0.13500000000000001</v>
      </c>
      <c r="K45" s="89"/>
    </row>
    <row r="46" spans="1:11" ht="15" customHeight="1" x14ac:dyDescent="0.35">
      <c r="B46" s="78" t="s">
        <v>134</v>
      </c>
      <c r="C46" s="79">
        <v>7.9000000000000001E-2</v>
      </c>
      <c r="D46" s="79">
        <v>5.0999999999999997E-2</v>
      </c>
      <c r="E46" s="79">
        <v>5.6000000000000001E-2</v>
      </c>
      <c r="F46" s="79">
        <v>7.4999999999999997E-2</v>
      </c>
      <c r="G46" s="79">
        <v>7.0000000000000007E-2</v>
      </c>
      <c r="H46" s="79">
        <v>6.5000000000000002E-2</v>
      </c>
      <c r="I46" s="79">
        <v>0.06</v>
      </c>
      <c r="J46" s="80">
        <v>5.5E-2</v>
      </c>
      <c r="K46" s="89"/>
    </row>
    <row r="47" spans="1:11" ht="15" customHeight="1" x14ac:dyDescent="0.35">
      <c r="B47" s="78" t="s">
        <v>135</v>
      </c>
      <c r="C47" s="79">
        <v>8.9999999999999993E-3</v>
      </c>
      <c r="D47" s="79">
        <v>8.9999999999999993E-3</v>
      </c>
      <c r="E47" s="79">
        <v>1.9E-2</v>
      </c>
      <c r="F47" s="79">
        <v>1.7999999999999999E-2</v>
      </c>
      <c r="G47" s="79">
        <v>1.7000000000000001E-2</v>
      </c>
      <c r="H47" s="79">
        <v>1.6E-2</v>
      </c>
      <c r="I47" s="79">
        <v>1.4999999999999999E-2</v>
      </c>
      <c r="J47" s="80">
        <v>1.4999999999999999E-2</v>
      </c>
      <c r="K47" s="89"/>
    </row>
    <row r="48" spans="1:11" ht="15" customHeight="1" x14ac:dyDescent="0.35">
      <c r="B48" s="78" t="s">
        <v>136</v>
      </c>
      <c r="C48" s="79">
        <f>IS!C49</f>
        <v>3.6999999999999998E-2</v>
      </c>
      <c r="D48" s="79">
        <f>IS!D49</f>
        <v>0.03</v>
      </c>
      <c r="E48" s="79">
        <f>IS!E49</f>
        <v>3.1E-2</v>
      </c>
      <c r="F48" s="79">
        <f>IS!F49</f>
        <v>3.5000000000000003E-2</v>
      </c>
      <c r="G48" s="79">
        <f>IS!G49</f>
        <v>3.5000000000000003E-2</v>
      </c>
      <c r="H48" s="79">
        <f>IS!H49</f>
        <v>3.5000000000000003E-2</v>
      </c>
      <c r="I48" s="79">
        <f>IS!I49</f>
        <v>3.5000000000000003E-2</v>
      </c>
      <c r="J48" s="80">
        <f>IS!J49</f>
        <v>3.5000000000000003E-2</v>
      </c>
      <c r="K48" s="89"/>
    </row>
    <row r="49" spans="2:11" ht="15" customHeight="1" x14ac:dyDescent="0.35">
      <c r="B49" s="81" t="s">
        <v>137</v>
      </c>
      <c r="C49" s="82">
        <f>IS!C45</f>
        <v>2.1000000000000001E-2</v>
      </c>
      <c r="D49" s="82">
        <f>IS!D45</f>
        <v>2.9000000000000001E-2</v>
      </c>
      <c r="E49" s="82">
        <f>IS!E45</f>
        <v>4.5999999999999999E-2</v>
      </c>
      <c r="F49" s="82">
        <f>IS!F45</f>
        <v>0.05</v>
      </c>
      <c r="G49" s="82">
        <f>IS!G45</f>
        <v>0.04</v>
      </c>
      <c r="H49" s="82">
        <f>IS!H45</f>
        <v>0.03</v>
      </c>
      <c r="I49" s="82">
        <f>IS!I45</f>
        <v>2.5000000000000001E-2</v>
      </c>
      <c r="J49" s="83">
        <f>IS!J45</f>
        <v>0.02</v>
      </c>
      <c r="K49" s="89"/>
    </row>
    <row r="50" spans="2:11" ht="15" customHeight="1" x14ac:dyDescent="0.35"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spans="2:11" ht="15" customHeight="1" x14ac:dyDescent="0.35">
      <c r="B51" s="89"/>
      <c r="C51" s="89"/>
      <c r="D51" s="89"/>
      <c r="E51" s="89"/>
      <c r="F51" s="89"/>
      <c r="G51" s="89"/>
      <c r="H51" s="89"/>
      <c r="I51" s="89"/>
      <c r="J51" s="89"/>
      <c r="K51" s="89"/>
    </row>
    <row r="52" spans="2:11" ht="15" customHeight="1" x14ac:dyDescent="0.35">
      <c r="B52" s="89"/>
      <c r="C52" s="89"/>
      <c r="D52" s="89"/>
      <c r="E52" s="89"/>
      <c r="F52" s="89"/>
      <c r="G52" s="89"/>
      <c r="H52" s="89"/>
      <c r="I52" s="89"/>
      <c r="J52" s="89"/>
      <c r="K52" s="89"/>
    </row>
    <row r="53" spans="2:11" ht="15" customHeight="1" x14ac:dyDescent="0.35">
      <c r="B53" s="89"/>
      <c r="C53" s="89"/>
      <c r="D53" s="89"/>
      <c r="E53" s="89"/>
      <c r="F53" s="89"/>
      <c r="G53" s="89"/>
      <c r="H53" s="89"/>
      <c r="I53" s="89"/>
      <c r="J53" s="89"/>
      <c r="K53" s="89"/>
    </row>
    <row r="54" spans="2:11" ht="15" customHeight="1" x14ac:dyDescent="0.35"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2:11" ht="15" customHeight="1" x14ac:dyDescent="0.35"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spans="2:11" ht="15" customHeight="1" x14ac:dyDescent="0.35">
      <c r="B56" s="89"/>
      <c r="C56" s="89"/>
      <c r="D56" s="89"/>
      <c r="E56" s="89"/>
      <c r="F56" s="89"/>
      <c r="G56" s="89"/>
      <c r="H56" s="89"/>
      <c r="I56" s="89"/>
      <c r="J56" s="89"/>
      <c r="K56" s="89"/>
    </row>
    <row r="57" spans="2:11" ht="15" customHeight="1" x14ac:dyDescent="0.35">
      <c r="B57" s="89"/>
      <c r="C57" s="89"/>
      <c r="D57" s="89"/>
      <c r="E57" s="89"/>
      <c r="F57" s="89"/>
      <c r="G57" s="89"/>
      <c r="H57" s="89"/>
      <c r="I57" s="89"/>
      <c r="J57" s="89"/>
      <c r="K57" s="89"/>
    </row>
    <row r="58" spans="2:11" ht="15" customHeight="1" x14ac:dyDescent="0.35">
      <c r="B58" s="89"/>
      <c r="C58" s="89"/>
      <c r="D58" s="89"/>
      <c r="E58" s="89"/>
      <c r="F58" s="89"/>
      <c r="G58" s="89"/>
      <c r="H58" s="89"/>
      <c r="I58" s="89"/>
      <c r="J58" s="89"/>
      <c r="K58" s="89"/>
    </row>
    <row r="59" spans="2:11" ht="15" customHeight="1" x14ac:dyDescent="0.35"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2:11" ht="15" customHeight="1" x14ac:dyDescent="0.35">
      <c r="B60" s="89"/>
      <c r="C60" s="89"/>
      <c r="D60" s="89"/>
      <c r="E60" s="89"/>
      <c r="F60" s="89"/>
      <c r="G60" s="89"/>
      <c r="H60" s="89"/>
      <c r="I60" s="89"/>
      <c r="J60" s="89"/>
      <c r="K60" s="89"/>
    </row>
    <row r="61" spans="2:11" ht="15" customHeight="1" x14ac:dyDescent="0.35">
      <c r="B61" s="89"/>
      <c r="C61" s="89"/>
      <c r="D61" s="89"/>
      <c r="E61" s="89"/>
      <c r="F61" s="89"/>
      <c r="G61" s="89"/>
      <c r="H61" s="89"/>
      <c r="I61" s="89"/>
      <c r="J61" s="89"/>
      <c r="K61" s="89"/>
    </row>
    <row r="62" spans="2:11" ht="15" customHeight="1" x14ac:dyDescent="0.35">
      <c r="B62" s="89"/>
      <c r="C62" s="89"/>
      <c r="D62" s="89"/>
      <c r="E62" s="89"/>
      <c r="F62" s="89"/>
      <c r="G62" s="89"/>
      <c r="H62" s="89"/>
      <c r="I62" s="89"/>
      <c r="J62" s="89"/>
      <c r="K62" s="89"/>
    </row>
    <row r="63" spans="2:11" ht="15" customHeight="1" x14ac:dyDescent="0.35"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spans="2:11" ht="15" customHeight="1" x14ac:dyDescent="0.35">
      <c r="B64" s="89"/>
      <c r="C64" s="89"/>
      <c r="D64" s="89"/>
      <c r="E64" s="89"/>
      <c r="F64" s="89"/>
      <c r="G64" s="89"/>
      <c r="H64" s="89"/>
      <c r="I64" s="89"/>
      <c r="J64" s="89"/>
      <c r="K64" s="89"/>
    </row>
    <row r="65" spans="2:11" ht="15" customHeight="1" x14ac:dyDescent="0.35"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6" spans="2:11" ht="15" customHeight="1" x14ac:dyDescent="0.35">
      <c r="B66" s="89"/>
      <c r="C66" s="89"/>
      <c r="D66" s="89"/>
      <c r="E66" s="89"/>
      <c r="F66" s="89"/>
      <c r="G66" s="89"/>
      <c r="H66" s="89"/>
      <c r="I66" s="89"/>
      <c r="J66" s="89"/>
      <c r="K66" s="89"/>
    </row>
    <row r="67" spans="2:11" ht="15" customHeight="1" x14ac:dyDescent="0.35">
      <c r="B67" s="89"/>
      <c r="C67" s="89"/>
      <c r="D67" s="89"/>
      <c r="E67" s="89"/>
      <c r="F67" s="89"/>
      <c r="G67" s="89"/>
      <c r="H67" s="89"/>
      <c r="I67" s="89"/>
      <c r="J67" s="89"/>
      <c r="K67" s="89"/>
    </row>
    <row r="68" spans="2:11" ht="15" customHeight="1" x14ac:dyDescent="0.35"/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1E5F5"/>
  </sheetPr>
  <dimension ref="A1:M59"/>
  <sheetViews>
    <sheetView showGridLines="0" zoomScaleNormal="100" workbookViewId="0"/>
  </sheetViews>
  <sheetFormatPr defaultColWidth="8.6328125" defaultRowHeight="14.5" x14ac:dyDescent="0.35"/>
  <cols>
    <col min="1" max="1" width="2.6328125" style="56" customWidth="1"/>
    <col min="2" max="2" width="38" style="56" customWidth="1"/>
    <col min="3" max="10" width="11" style="56" customWidth="1"/>
    <col min="11" max="16384" width="8.6328125" style="56"/>
  </cols>
  <sheetData>
    <row r="1" spans="1:13" ht="15.75" customHeight="1" x14ac:dyDescent="0.35">
      <c r="A1" s="57"/>
      <c r="B1" s="58" t="s">
        <v>138</v>
      </c>
      <c r="C1" s="58"/>
      <c r="D1" s="58"/>
      <c r="E1" s="58"/>
      <c r="F1" s="58"/>
      <c r="G1" s="58"/>
      <c r="H1" s="58"/>
      <c r="I1" s="58"/>
      <c r="J1" s="58"/>
      <c r="K1" s="59"/>
      <c r="L1" s="59"/>
      <c r="M1" s="59"/>
    </row>
    <row r="2" spans="1:13" ht="13.5" customHeight="1" x14ac:dyDescent="0.35">
      <c r="B2" s="60"/>
      <c r="C2" s="60">
        <v>2024</v>
      </c>
      <c r="D2" s="60">
        <f>IS!D2</f>
        <v>2025</v>
      </c>
      <c r="E2" s="60">
        <f>IS!E2</f>
        <v>2026</v>
      </c>
      <c r="F2" s="60" t="s">
        <v>44</v>
      </c>
      <c r="G2" s="60" t="s">
        <v>45</v>
      </c>
      <c r="H2" s="60" t="s">
        <v>46</v>
      </c>
      <c r="I2" s="60" t="s">
        <v>47</v>
      </c>
      <c r="J2" s="60" t="s">
        <v>48</v>
      </c>
      <c r="K2" s="59"/>
      <c r="L2" s="59"/>
      <c r="M2" s="59"/>
    </row>
    <row r="3" spans="1:13" ht="4.5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59"/>
      <c r="L3" s="59"/>
      <c r="M3" s="59"/>
    </row>
    <row r="4" spans="1:13" ht="15" customHeight="1" x14ac:dyDescent="0.35">
      <c r="B4" s="74" t="s">
        <v>139</v>
      </c>
      <c r="C4" s="74"/>
      <c r="D4" s="74"/>
      <c r="E4" s="74"/>
      <c r="F4" s="74"/>
      <c r="G4" s="74"/>
      <c r="H4" s="74"/>
      <c r="I4" s="74"/>
      <c r="J4" s="74"/>
      <c r="K4" s="59"/>
      <c r="L4" s="59"/>
      <c r="M4" s="59"/>
    </row>
    <row r="5" spans="1:13" ht="15" customHeight="1" x14ac:dyDescent="0.35">
      <c r="B5" s="57" t="s">
        <v>140</v>
      </c>
      <c r="C5" s="85">
        <f>IS!C28</f>
        <v>-75.569000000000003</v>
      </c>
      <c r="D5" s="85">
        <f>IS!D28</f>
        <v>-81.934999999999974</v>
      </c>
      <c r="E5" s="85">
        <f>IS!E28</f>
        <v>-59.3</v>
      </c>
      <c r="F5" s="85">
        <f>IS!F28</f>
        <v>-38.082786799999944</v>
      </c>
      <c r="G5" s="85">
        <f>IS!G28</f>
        <v>-20.476813969599981</v>
      </c>
      <c r="H5" s="85">
        <f>IS!H28</f>
        <v>-8.8158644594539464</v>
      </c>
      <c r="I5" s="85">
        <f>IS!I28</f>
        <v>-0.5946749395336357</v>
      </c>
      <c r="J5" s="85">
        <f>IS!J28</f>
        <v>5.6099610049094419</v>
      </c>
      <c r="K5" s="59"/>
      <c r="L5" s="59"/>
      <c r="M5" s="59"/>
    </row>
    <row r="6" spans="1:13" ht="15" customHeight="1" x14ac:dyDescent="0.35">
      <c r="B6" s="64" t="s">
        <v>141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" customHeight="1" x14ac:dyDescent="0.35">
      <c r="B7" s="57" t="s">
        <v>142</v>
      </c>
      <c r="C7" s="85">
        <f>IS!C21</f>
        <v>6.6219999999999999</v>
      </c>
      <c r="D7" s="85">
        <f>IS!D21</f>
        <v>9.2360000000000007</v>
      </c>
      <c r="E7" s="85">
        <f>IS!E21</f>
        <v>14.8</v>
      </c>
      <c r="F7" s="85">
        <f>IS!F21</f>
        <v>16.052950000000003</v>
      </c>
      <c r="G7" s="85">
        <f>IS!G21</f>
        <v>13.26086008</v>
      </c>
      <c r="H7" s="85">
        <f>IS!H21</f>
        <v>10.2068318868</v>
      </c>
      <c r="I7" s="85">
        <f>IS!I21</f>
        <v>8.6636608122799998</v>
      </c>
      <c r="J7" s="85">
        <f>IS!J21</f>
        <v>6.9953794197222399</v>
      </c>
      <c r="K7" s="59"/>
      <c r="L7" s="59"/>
      <c r="M7" s="59"/>
    </row>
    <row r="8" spans="1:13" ht="15" customHeight="1" x14ac:dyDescent="0.35">
      <c r="B8" s="57" t="s">
        <v>143</v>
      </c>
      <c r="C8" s="85">
        <f>IS!C32</f>
        <v>64.347999999999999</v>
      </c>
      <c r="D8" s="85">
        <f>IS!D32</f>
        <v>59.366</v>
      </c>
      <c r="E8" s="85">
        <f>IS!E32</f>
        <v>56.1</v>
      </c>
      <c r="F8" s="85">
        <f>IS!F32</f>
        <v>51.369440000000004</v>
      </c>
      <c r="G8" s="85">
        <f>IS!G32</f>
        <v>46.413010280000002</v>
      </c>
      <c r="H8" s="85">
        <f>IS!H32</f>
        <v>44.229604842800001</v>
      </c>
      <c r="I8" s="85">
        <f>IS!I32</f>
        <v>41.585571898943996</v>
      </c>
      <c r="J8" s="85">
        <f>IS!J32</f>
        <v>38.474586808472317</v>
      </c>
      <c r="K8" s="59"/>
      <c r="L8" s="59"/>
      <c r="M8" s="59"/>
    </row>
    <row r="9" spans="1:13" ht="15" customHeight="1" x14ac:dyDescent="0.35">
      <c r="B9" s="57" t="s">
        <v>144</v>
      </c>
      <c r="C9" s="62">
        <v>7.2</v>
      </c>
      <c r="D9" s="62">
        <v>6.5</v>
      </c>
      <c r="E9" s="62">
        <v>-9.6999999999999993</v>
      </c>
      <c r="F9" s="85">
        <f>-('Balance Sheet'!F12-'Balance Sheet'!E12)</f>
        <v>1.7358549999999937</v>
      </c>
      <c r="G9" s="85">
        <f>-('Balance Sheet'!G12-'Balance Sheet'!F12)</f>
        <v>3.5919700000007992E-2</v>
      </c>
      <c r="H9" s="85">
        <f>-('Balance Sheet'!H12-'Balance Sheet'!G12)</f>
        <v>0.3952045138000031</v>
      </c>
      <c r="I9" s="85">
        <f>-('Balance Sheet'!I12-'Balance Sheet'!H12)</f>
        <v>0.81652023743199464</v>
      </c>
      <c r="J9" s="85">
        <f>-('Balance Sheet'!J12-'Balance Sheet'!I12)</f>
        <v>1.2976894656428826</v>
      </c>
      <c r="K9" s="59"/>
      <c r="L9" s="59"/>
      <c r="M9" s="59"/>
    </row>
    <row r="10" spans="1:13" ht="15" customHeight="1" x14ac:dyDescent="0.35">
      <c r="B10" s="64" t="s">
        <v>145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15" customHeight="1" x14ac:dyDescent="0.35">
      <c r="B11" s="57" t="s">
        <v>146</v>
      </c>
      <c r="C11" s="62">
        <v>11.760999999999999</v>
      </c>
      <c r="D11" s="62">
        <v>-4.3470000000000004</v>
      </c>
      <c r="E11" s="62">
        <v>-13.9</v>
      </c>
      <c r="F11" s="85">
        <f>-('Balance Sheet'!F7-'Balance Sheet'!E7)</f>
        <v>6.3347671232876621</v>
      </c>
      <c r="G11" s="85">
        <f>-('Balance Sheet'!G7-'Balance Sheet'!F7)</f>
        <v>-0.76323883835615902</v>
      </c>
      <c r="H11" s="85">
        <f>-('Balance Sheet'!H7-'Balance Sheet'!G7)</f>
        <v>0.69735661205479005</v>
      </c>
      <c r="I11" s="85">
        <f>-('Balance Sheet'!I7-'Balance Sheet'!H7)</f>
        <v>1.3768480775934364</v>
      </c>
      <c r="J11" s="85">
        <f>-('Balance Sheet'!J7-'Balance Sheet'!I7)</f>
        <v>1.1925747544916163</v>
      </c>
      <c r="K11" s="59"/>
      <c r="L11" s="59"/>
      <c r="M11" s="59"/>
    </row>
    <row r="12" spans="1:13" ht="15" customHeight="1" x14ac:dyDescent="0.35">
      <c r="B12" s="57" t="s">
        <v>147</v>
      </c>
      <c r="C12" s="62">
        <v>-1.593</v>
      </c>
      <c r="D12" s="62">
        <v>0.123</v>
      </c>
      <c r="E12" s="62">
        <v>-0.3</v>
      </c>
      <c r="F12" s="85">
        <f>-('Balance Sheet'!F8-'Balance Sheet'!E8)</f>
        <v>0.4784569999999988</v>
      </c>
      <c r="G12" s="85">
        <f>-('Balance Sheet'!G8-'Balance Sheet'!F8)</f>
        <v>-0.14256964999999866</v>
      </c>
      <c r="H12" s="85">
        <f>-('Balance Sheet'!H8-'Balance Sheet'!G8)</f>
        <v>2.7488392120002203E-2</v>
      </c>
      <c r="I12" s="85">
        <f>-('Balance Sheet'!I8-'Balance Sheet'!H8)</f>
        <v>0.23182755100479824</v>
      </c>
      <c r="J12" s="85">
        <f>-('Balance Sheet'!J8-'Balance Sheet'!I8)</f>
        <v>0.12096873784735607</v>
      </c>
      <c r="K12" s="59"/>
      <c r="L12" s="59"/>
      <c r="M12" s="59"/>
    </row>
    <row r="13" spans="1:13" ht="15" customHeight="1" x14ac:dyDescent="0.35">
      <c r="B13" s="57" t="s">
        <v>148</v>
      </c>
      <c r="C13" s="62">
        <v>-6.9740000000000002</v>
      </c>
      <c r="D13" s="62">
        <v>1.829</v>
      </c>
      <c r="E13" s="62">
        <v>8.9</v>
      </c>
      <c r="F13" s="85">
        <f>'Balance Sheet'!F19-'Balance Sheet'!E19</f>
        <v>-3.4012958904109603</v>
      </c>
      <c r="G13" s="85">
        <f>'Balance Sheet'!G19-'Balance Sheet'!F19</f>
        <v>-0.55601928986301274</v>
      </c>
      <c r="H13" s="85">
        <f>'Balance Sheet'!H19-'Balance Sheet'!G19</f>
        <v>-0.5357211466739713</v>
      </c>
      <c r="I13" s="85">
        <f>'Balance Sheet'!I19-'Balance Sheet'!H19</f>
        <v>-0.85427002958834031</v>
      </c>
      <c r="J13" s="85">
        <f>'Balance Sheet'!J19-'Balance Sheet'!I19</f>
        <v>-1.1245571649305877</v>
      </c>
      <c r="K13" s="59"/>
      <c r="L13" s="59"/>
      <c r="M13" s="59"/>
    </row>
    <row r="14" spans="1:13" ht="15" customHeight="1" x14ac:dyDescent="0.35">
      <c r="B14" s="57" t="s">
        <v>149</v>
      </c>
      <c r="C14" s="62">
        <v>2.1040000000000001</v>
      </c>
      <c r="D14" s="62">
        <v>-6.8819999999999997</v>
      </c>
      <c r="E14" s="62">
        <v>-4</v>
      </c>
      <c r="F14" s="85">
        <f>'Balance Sheet'!F21-'Balance Sheet'!E21</f>
        <v>-1.5281399999999792</v>
      </c>
      <c r="G14" s="85">
        <f>'Balance Sheet'!G21-'Balance Sheet'!F21</f>
        <v>0.67692854999998531</v>
      </c>
      <c r="H14" s="85">
        <f>'Balance Sheet'!H21-'Balance Sheet'!G21</f>
        <v>-0.53264647439999635</v>
      </c>
      <c r="I14" s="85">
        <f>'Balance Sheet'!I21-'Balance Sheet'!H21</f>
        <v>-0.24292583000001855</v>
      </c>
      <c r="J14" s="85">
        <f>'Balance Sheet'!J21-'Balance Sheet'!I21</f>
        <v>-1.8864204624051411</v>
      </c>
      <c r="K14" s="59"/>
      <c r="L14" s="59"/>
      <c r="M14" s="59"/>
    </row>
    <row r="15" spans="1:13" ht="15" customHeight="1" x14ac:dyDescent="0.35">
      <c r="B15" s="57" t="s">
        <v>150</v>
      </c>
      <c r="C15" s="62">
        <v>4.4379999999999997</v>
      </c>
      <c r="D15" s="62">
        <v>6.2519999999999998</v>
      </c>
      <c r="E15" s="62">
        <v>11.1</v>
      </c>
      <c r="F15" s="85">
        <f>'Balance Sheet'!F22-'Balance Sheet'!E22</f>
        <v>-0.54583999999998412</v>
      </c>
      <c r="G15" s="85">
        <f>'Balance Sheet'!G22-'Balance Sheet'!F22</f>
        <v>-0.80421454000000381</v>
      </c>
      <c r="H15" s="85">
        <f>'Balance Sheet'!H22-'Balance Sheet'!G22</f>
        <v>-1.3998449568000098</v>
      </c>
      <c r="I15" s="85">
        <f>'Balance Sheet'!I22-'Balance Sheet'!H22</f>
        <v>-0.34261751759200365</v>
      </c>
      <c r="J15" s="85">
        <f>'Balance Sheet'!J22-'Balance Sheet'!I22</f>
        <v>-1.0559990785244793</v>
      </c>
      <c r="K15" s="59"/>
      <c r="L15" s="59"/>
      <c r="M15" s="59"/>
    </row>
    <row r="16" spans="1:13" ht="15" customHeight="1" x14ac:dyDescent="0.35">
      <c r="B16" s="57" t="s">
        <v>151</v>
      </c>
      <c r="C16" s="62">
        <v>0.3</v>
      </c>
      <c r="D16" s="62">
        <v>0.1</v>
      </c>
      <c r="E16" s="62">
        <v>3.2</v>
      </c>
      <c r="F16" s="85">
        <f>'Balance Sheet'!F26-'Balance Sheet'!E26</f>
        <v>-0.2209380000000003</v>
      </c>
      <c r="G16" s="85">
        <f>'Balance Sheet'!G26-'Balance Sheet'!F26</f>
        <v>-0.14319646599999913</v>
      </c>
      <c r="H16" s="85">
        <f>'Balance Sheet'!H26-'Balance Sheet'!G26</f>
        <v>-0.19222186104000016</v>
      </c>
      <c r="I16" s="85">
        <f>'Balance Sheet'!I26-'Balance Sheet'!H26</f>
        <v>-0.24544718559200085</v>
      </c>
      <c r="J16" s="85">
        <f>'Balance Sheet'!J26-'Balance Sheet'!I26</f>
        <v>4.8338077423680126E-2</v>
      </c>
      <c r="K16" s="59"/>
      <c r="L16" s="59"/>
      <c r="M16" s="59"/>
    </row>
    <row r="17" spans="2:13" ht="15" customHeight="1" x14ac:dyDescent="0.35">
      <c r="B17" s="57" t="s">
        <v>152</v>
      </c>
      <c r="C17" s="62">
        <v>-2</v>
      </c>
      <c r="D17" s="62">
        <v>-9</v>
      </c>
      <c r="E17" s="62">
        <v>1.8</v>
      </c>
      <c r="F17" s="85">
        <f>'Balance Sheet'!F27-'Balance Sheet'!E27</f>
        <v>6.1794250000000019</v>
      </c>
      <c r="G17" s="85">
        <f>'Balance Sheet'!G27-'Balance Sheet'!F27</f>
        <v>-0.87291985999999966</v>
      </c>
      <c r="H17" s="85">
        <f>'Balance Sheet'!H27-'Balance Sheet'!G27</f>
        <v>-1.0917027186000006</v>
      </c>
      <c r="I17" s="85">
        <f>'Balance Sheet'!I27-'Balance Sheet'!H27</f>
        <v>-1.3220164719280021</v>
      </c>
      <c r="J17" s="85">
        <f>'Balance Sheet'!J27-'Balance Sheet'!I27</f>
        <v>-1.5554925452358397</v>
      </c>
      <c r="K17" s="59"/>
      <c r="L17" s="59"/>
      <c r="M17" s="59"/>
    </row>
    <row r="18" spans="2:13" ht="15" customHeight="1" x14ac:dyDescent="0.35">
      <c r="B18" s="64" t="s">
        <v>153</v>
      </c>
      <c r="C18" s="65">
        <f t="shared" ref="C18:J18" si="0">SUM(C11:C17)</f>
        <v>8.0359999999999996</v>
      </c>
      <c r="D18" s="94">
        <f t="shared" si="0"/>
        <v>-11.925000000000001</v>
      </c>
      <c r="E18" s="65">
        <f t="shared" si="0"/>
        <v>6.7999999999999989</v>
      </c>
      <c r="F18" s="65">
        <f t="shared" si="0"/>
        <v>7.296435232876739</v>
      </c>
      <c r="G18" s="94">
        <f t="shared" si="0"/>
        <v>-2.6052300942191877</v>
      </c>
      <c r="H18" s="94">
        <f t="shared" si="0"/>
        <v>-3.0272921533391859</v>
      </c>
      <c r="I18" s="65">
        <f t="shared" si="0"/>
        <v>-1.3986014061021308</v>
      </c>
      <c r="J18" s="94">
        <f t="shared" si="0"/>
        <v>-4.2605876813333952</v>
      </c>
      <c r="K18" s="59"/>
      <c r="L18" s="59"/>
      <c r="M18" s="59"/>
    </row>
    <row r="19" spans="2:13" ht="15" customHeight="1" x14ac:dyDescent="0.3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5" customHeight="1" x14ac:dyDescent="0.35">
      <c r="B20" s="64" t="s">
        <v>139</v>
      </c>
      <c r="C20" s="87">
        <f t="shared" ref="C20:J20" si="1">C5+C7+C8+C9+C18</f>
        <v>10.636999999999997</v>
      </c>
      <c r="D20" s="95">
        <f t="shared" si="1"/>
        <v>-18.757999999999971</v>
      </c>
      <c r="E20" s="87">
        <f t="shared" si="1"/>
        <v>8.7000000000000011</v>
      </c>
      <c r="F20" s="87">
        <f t="shared" si="1"/>
        <v>38.371893432876796</v>
      </c>
      <c r="G20" s="87">
        <f t="shared" si="1"/>
        <v>36.627745996180842</v>
      </c>
      <c r="H20" s="87">
        <f t="shared" si="1"/>
        <v>42.988484630606877</v>
      </c>
      <c r="I20" s="87">
        <f t="shared" si="1"/>
        <v>49.072476603020228</v>
      </c>
      <c r="J20" s="87">
        <f t="shared" si="1"/>
        <v>48.117029017413486</v>
      </c>
      <c r="K20" s="59"/>
      <c r="L20" s="59"/>
      <c r="M20" s="59"/>
    </row>
    <row r="21" spans="2:13" ht="15" customHeight="1" x14ac:dyDescent="0.3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2:13" ht="15" customHeight="1" x14ac:dyDescent="0.35">
      <c r="B22" s="74" t="s">
        <v>154</v>
      </c>
      <c r="C22" s="74"/>
      <c r="D22" s="74"/>
      <c r="E22" s="74"/>
      <c r="F22" s="74"/>
      <c r="G22" s="74"/>
      <c r="H22" s="74"/>
      <c r="I22" s="74"/>
      <c r="J22" s="74"/>
      <c r="K22" s="59"/>
      <c r="L22" s="59"/>
      <c r="M22" s="59"/>
    </row>
    <row r="23" spans="2:13" ht="15" customHeight="1" x14ac:dyDescent="0.35">
      <c r="B23" s="57" t="s">
        <v>155</v>
      </c>
      <c r="C23" s="85">
        <f>-IS!C34</f>
        <v>-11.734</v>
      </c>
      <c r="D23" s="85">
        <f>-IS!D34</f>
        <v>-9.4450000000000003</v>
      </c>
      <c r="E23" s="85">
        <f>-IS!E34</f>
        <v>-10</v>
      </c>
      <c r="F23" s="85">
        <f>-IS!F34</f>
        <v>-11.237065000000001</v>
      </c>
      <c r="G23" s="85">
        <f>-IS!G34</f>
        <v>-11.60325257</v>
      </c>
      <c r="H23" s="85">
        <f>-IS!H34</f>
        <v>-11.9079705346</v>
      </c>
      <c r="I23" s="85">
        <f>-IS!I34</f>
        <v>-12.129125137192</v>
      </c>
      <c r="J23" s="85">
        <f>-IS!J34</f>
        <v>-12.241913984513921</v>
      </c>
      <c r="K23" s="59"/>
      <c r="L23" s="59"/>
      <c r="M23" s="59"/>
    </row>
    <row r="24" spans="2:13" ht="15" customHeight="1" x14ac:dyDescent="0.35">
      <c r="B24" s="57" t="s">
        <v>156</v>
      </c>
      <c r="C24" s="62">
        <v>-2.5999999999999999E-2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59"/>
      <c r="L24" s="59"/>
      <c r="M24" s="59"/>
    </row>
    <row r="25" spans="2:13" ht="4.5" customHeight="1" x14ac:dyDescent="0.35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ht="15" customHeight="1" x14ac:dyDescent="0.35">
      <c r="B26" s="64" t="s">
        <v>154</v>
      </c>
      <c r="C26" s="95">
        <f t="shared" ref="C26:J26" si="2">C23+C24</f>
        <v>-11.76</v>
      </c>
      <c r="D26" s="95">
        <f t="shared" si="2"/>
        <v>-9.4450000000000003</v>
      </c>
      <c r="E26" s="95">
        <f t="shared" si="2"/>
        <v>-10</v>
      </c>
      <c r="F26" s="95">
        <f t="shared" si="2"/>
        <v>-11.237065000000001</v>
      </c>
      <c r="G26" s="95">
        <f t="shared" si="2"/>
        <v>-11.60325257</v>
      </c>
      <c r="H26" s="95">
        <f t="shared" si="2"/>
        <v>-11.9079705346</v>
      </c>
      <c r="I26" s="95">
        <f t="shared" si="2"/>
        <v>-12.129125137192</v>
      </c>
      <c r="J26" s="95">
        <f t="shared" si="2"/>
        <v>-12.241913984513921</v>
      </c>
      <c r="K26" s="59"/>
      <c r="L26" s="59"/>
      <c r="M26" s="59"/>
    </row>
    <row r="27" spans="2:13" ht="4.5" customHeight="1" x14ac:dyDescent="0.3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2:13" ht="15" customHeight="1" x14ac:dyDescent="0.35">
      <c r="B28" s="74" t="s">
        <v>157</v>
      </c>
      <c r="C28" s="74"/>
      <c r="D28" s="74"/>
      <c r="E28" s="74"/>
      <c r="F28" s="74"/>
      <c r="G28" s="74"/>
      <c r="H28" s="74"/>
      <c r="I28" s="74"/>
      <c r="J28" s="74"/>
      <c r="K28" s="59"/>
      <c r="L28" s="59"/>
      <c r="M28" s="59"/>
    </row>
    <row r="29" spans="2:13" ht="15" customHeight="1" x14ac:dyDescent="0.35">
      <c r="B29" s="57" t="s">
        <v>158</v>
      </c>
      <c r="C29" s="62">
        <v>0</v>
      </c>
      <c r="D29" s="62">
        <v>0</v>
      </c>
      <c r="E29" s="62">
        <v>-0.3</v>
      </c>
      <c r="F29" s="85">
        <f>'Balance Sheet'!F20-'Balance Sheet'!E20</f>
        <v>-7.5</v>
      </c>
      <c r="G29" s="85">
        <f>'Balance Sheet'!G20-'Balance Sheet'!F20</f>
        <v>0</v>
      </c>
      <c r="H29" s="85">
        <f>'Balance Sheet'!H20-'Balance Sheet'!G20</f>
        <v>0</v>
      </c>
      <c r="I29" s="85">
        <f>'Balance Sheet'!I20-'Balance Sheet'!H20</f>
        <v>0</v>
      </c>
      <c r="J29" s="85">
        <f>'Balance Sheet'!J20-'Balance Sheet'!I20</f>
        <v>0</v>
      </c>
      <c r="K29" s="59"/>
      <c r="L29" s="59"/>
      <c r="M29" s="59"/>
    </row>
    <row r="30" spans="2:13" ht="15" customHeight="1" x14ac:dyDescent="0.35">
      <c r="B30" s="57" t="s">
        <v>159</v>
      </c>
      <c r="C30" s="62">
        <v>0</v>
      </c>
      <c r="D30" s="62">
        <v>4.1340000000000003</v>
      </c>
      <c r="E30" s="62">
        <v>14.532</v>
      </c>
      <c r="F30" s="85">
        <f>'Balance Sheet'!F25-'Balance Sheet'!E25</f>
        <v>0</v>
      </c>
      <c r="G30" s="85">
        <f>'Balance Sheet'!G25-'Balance Sheet'!F25</f>
        <v>0</v>
      </c>
      <c r="H30" s="85">
        <f>'Balance Sheet'!H25-'Balance Sheet'!G25</f>
        <v>0</v>
      </c>
      <c r="I30" s="85">
        <f>'Balance Sheet'!I25-'Balance Sheet'!H25</f>
        <v>0</v>
      </c>
      <c r="J30" s="85">
        <f>'Balance Sheet'!J25-'Balance Sheet'!I25</f>
        <v>0</v>
      </c>
      <c r="K30" s="59"/>
      <c r="L30" s="59"/>
      <c r="M30" s="59"/>
    </row>
    <row r="31" spans="2:13" ht="15" customHeight="1" x14ac:dyDescent="0.35">
      <c r="B31" s="57" t="s">
        <v>160</v>
      </c>
      <c r="C31" s="62">
        <v>3.4710000000000001</v>
      </c>
      <c r="D31" s="62">
        <v>3.391</v>
      </c>
      <c r="E31" s="62">
        <v>-0.6</v>
      </c>
      <c r="F31" s="85">
        <f>('Balance Sheet'!F32-'Balance Sheet'!E32)-IS!F32</f>
        <v>-6.3948846218409017E-14</v>
      </c>
      <c r="G31" s="85">
        <f>('Balance Sheet'!G32-'Balance Sheet'!F32)-IS!G32</f>
        <v>0</v>
      </c>
      <c r="H31" s="85">
        <f>('Balance Sheet'!H32-'Balance Sheet'!G32)-IS!H32</f>
        <v>0</v>
      </c>
      <c r="I31" s="85">
        <f>('Balance Sheet'!I32-'Balance Sheet'!H32)-IS!I32</f>
        <v>0</v>
      </c>
      <c r="J31" s="85">
        <f>('Balance Sheet'!J32-'Balance Sheet'!I32)-IS!J32</f>
        <v>7.815970093361102E-14</v>
      </c>
      <c r="K31" s="59"/>
      <c r="L31" s="59"/>
      <c r="M31" s="59"/>
    </row>
    <row r="32" spans="2:13" ht="15" customHeight="1" x14ac:dyDescent="0.35">
      <c r="B32" s="57" t="s">
        <v>161</v>
      </c>
      <c r="C32" s="62">
        <v>0</v>
      </c>
      <c r="D32" s="62">
        <v>0</v>
      </c>
      <c r="E32" s="62">
        <v>1.5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59"/>
      <c r="L32" s="59"/>
      <c r="M32" s="59"/>
    </row>
    <row r="33" spans="1:13" ht="4.5" customHeight="1" x14ac:dyDescent="0.3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 ht="15" customHeight="1" x14ac:dyDescent="0.35">
      <c r="B34" s="64" t="s">
        <v>157</v>
      </c>
      <c r="C34" s="87">
        <f t="shared" ref="C34:J34" si="3">C29+C30+C31+C32</f>
        <v>3.4710000000000001</v>
      </c>
      <c r="D34" s="87">
        <f t="shared" si="3"/>
        <v>7.5250000000000004</v>
      </c>
      <c r="E34" s="87">
        <f t="shared" si="3"/>
        <v>15.132</v>
      </c>
      <c r="F34" s="95">
        <f t="shared" si="3"/>
        <v>-7.5000000000000639</v>
      </c>
      <c r="G34" s="87">
        <f t="shared" si="3"/>
        <v>0</v>
      </c>
      <c r="H34" s="87">
        <f t="shared" si="3"/>
        <v>0</v>
      </c>
      <c r="I34" s="87">
        <f t="shared" si="3"/>
        <v>0</v>
      </c>
      <c r="J34" s="87">
        <f t="shared" si="3"/>
        <v>7.815970093361102E-14</v>
      </c>
      <c r="K34" s="59"/>
      <c r="L34" s="59"/>
      <c r="M34" s="59"/>
    </row>
    <row r="35" spans="1:13" ht="4.5" customHeight="1" x14ac:dyDescent="0.35">
      <c r="B35" s="64"/>
      <c r="C35" s="70"/>
      <c r="D35" s="70"/>
      <c r="E35" s="70"/>
      <c r="F35" s="70"/>
      <c r="G35" s="70"/>
      <c r="H35" s="70"/>
      <c r="I35" s="70"/>
      <c r="J35" s="70"/>
      <c r="K35" s="59"/>
      <c r="L35" s="59"/>
      <c r="M35" s="59"/>
    </row>
    <row r="36" spans="1:13" ht="15" customHeight="1" x14ac:dyDescent="0.35">
      <c r="B36" s="74" t="s">
        <v>162</v>
      </c>
      <c r="C36" s="74"/>
      <c r="D36" s="74"/>
      <c r="E36" s="74"/>
      <c r="F36" s="74"/>
      <c r="G36" s="74"/>
      <c r="H36" s="74"/>
      <c r="I36" s="74"/>
      <c r="J36" s="74"/>
      <c r="K36" s="59"/>
      <c r="L36" s="59"/>
      <c r="M36" s="59"/>
    </row>
    <row r="37" spans="1:13" ht="15" customHeight="1" x14ac:dyDescent="0.35">
      <c r="B37" s="57" t="s">
        <v>163</v>
      </c>
      <c r="C37" s="62">
        <v>0</v>
      </c>
      <c r="D37" s="62">
        <v>0</v>
      </c>
      <c r="E37" s="62">
        <v>-3.7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59"/>
      <c r="L37" s="59"/>
      <c r="M37" s="59"/>
    </row>
    <row r="38" spans="1:13" ht="15" customHeight="1" x14ac:dyDescent="0.35">
      <c r="B38" s="57" t="s">
        <v>164</v>
      </c>
      <c r="C38" s="96">
        <f>'Balance Sheet'!C6-C42-C20-C26-C34-C37</f>
        <v>-7.9089999999999971</v>
      </c>
      <c r="D38" s="63">
        <f>'Balance Sheet'!D6-D42-D20-D26-D34-D37</f>
        <v>5.0029999999999735</v>
      </c>
      <c r="E38" s="96">
        <f>'Balance Sheet'!E6-E42-E20-E26-E34-E37</f>
        <v>-12.396000000000004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59"/>
      <c r="L38" s="59"/>
      <c r="M38" s="59"/>
    </row>
    <row r="39" spans="1:13" ht="4.5" customHeight="1" x14ac:dyDescent="0.3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 ht="15" customHeight="1" x14ac:dyDescent="0.35">
      <c r="B40" s="74" t="s">
        <v>165</v>
      </c>
      <c r="C40" s="74"/>
      <c r="D40" s="74"/>
      <c r="E40" s="74"/>
      <c r="F40" s="74"/>
      <c r="G40" s="74"/>
      <c r="H40" s="74"/>
      <c r="I40" s="74"/>
      <c r="J40" s="74"/>
      <c r="K40" s="59"/>
      <c r="L40" s="59"/>
      <c r="M40" s="59"/>
    </row>
    <row r="41" spans="1:13" ht="15" customHeight="1" x14ac:dyDescent="0.35">
      <c r="B41" s="64" t="s">
        <v>166</v>
      </c>
      <c r="C41" s="94">
        <f t="shared" ref="C41:J41" si="4">C20+C26+C34+C37+C38</f>
        <v>-5.5609999999999999</v>
      </c>
      <c r="D41" s="94">
        <f t="shared" si="4"/>
        <v>-15.674999999999995</v>
      </c>
      <c r="E41" s="94">
        <f t="shared" si="4"/>
        <v>-2.2640000000000029</v>
      </c>
      <c r="F41" s="65">
        <f t="shared" si="4"/>
        <v>19.634828432876731</v>
      </c>
      <c r="G41" s="65">
        <f t="shared" si="4"/>
        <v>25.02449342618084</v>
      </c>
      <c r="H41" s="65">
        <f t="shared" si="4"/>
        <v>31.080514096006876</v>
      </c>
      <c r="I41" s="65">
        <f t="shared" si="4"/>
        <v>36.943351465828229</v>
      </c>
      <c r="J41" s="65">
        <f t="shared" si="4"/>
        <v>35.875115032899643</v>
      </c>
      <c r="K41" s="59"/>
      <c r="L41" s="59"/>
      <c r="M41" s="59"/>
    </row>
    <row r="42" spans="1:13" ht="15" customHeight="1" x14ac:dyDescent="0.35">
      <c r="B42" s="57" t="s">
        <v>167</v>
      </c>
      <c r="C42" s="62">
        <v>66.5</v>
      </c>
      <c r="D42" s="63">
        <f t="shared" ref="D42:J42" si="5">C43</f>
        <v>60.939</v>
      </c>
      <c r="E42" s="63">
        <f t="shared" si="5"/>
        <v>45.264000000000003</v>
      </c>
      <c r="F42" s="63">
        <f t="shared" si="5"/>
        <v>43</v>
      </c>
      <c r="G42" s="63">
        <f t="shared" si="5"/>
        <v>62.634828432876731</v>
      </c>
      <c r="H42" s="63">
        <f t="shared" si="5"/>
        <v>87.65932185905757</v>
      </c>
      <c r="I42" s="63">
        <f t="shared" si="5"/>
        <v>118.73983595506445</v>
      </c>
      <c r="J42" s="63">
        <f t="shared" si="5"/>
        <v>155.68318742089269</v>
      </c>
      <c r="K42" s="59"/>
      <c r="L42" s="59"/>
      <c r="M42" s="59"/>
    </row>
    <row r="43" spans="1:13" ht="15" customHeight="1" x14ac:dyDescent="0.35">
      <c r="B43" s="64" t="s">
        <v>168</v>
      </c>
      <c r="C43" s="65">
        <f t="shared" ref="C43:J43" si="6">C42+C41</f>
        <v>60.939</v>
      </c>
      <c r="D43" s="65">
        <f t="shared" si="6"/>
        <v>45.264000000000003</v>
      </c>
      <c r="E43" s="65">
        <f t="shared" si="6"/>
        <v>43</v>
      </c>
      <c r="F43" s="65">
        <f t="shared" si="6"/>
        <v>62.634828432876731</v>
      </c>
      <c r="G43" s="65">
        <f t="shared" si="6"/>
        <v>87.65932185905757</v>
      </c>
      <c r="H43" s="65">
        <f t="shared" si="6"/>
        <v>118.73983595506445</v>
      </c>
      <c r="I43" s="65">
        <f t="shared" si="6"/>
        <v>155.68318742089269</v>
      </c>
      <c r="J43" s="65">
        <f t="shared" si="6"/>
        <v>191.55830245379235</v>
      </c>
      <c r="K43" s="59"/>
      <c r="L43" s="59"/>
      <c r="M43" s="59"/>
    </row>
    <row r="44" spans="1:13" ht="15" customHeight="1" x14ac:dyDescent="0.35">
      <c r="B44" s="57" t="s">
        <v>169</v>
      </c>
      <c r="C44" s="85">
        <f>'Balance Sheet'!C6</f>
        <v>60.939</v>
      </c>
      <c r="D44" s="85">
        <f>'Balance Sheet'!D6</f>
        <v>45.264000000000003</v>
      </c>
      <c r="E44" s="85">
        <f>'Balance Sheet'!E6</f>
        <v>43</v>
      </c>
      <c r="F44" s="85">
        <f>'Balance Sheet'!F6</f>
        <v>62.634828432876731</v>
      </c>
      <c r="G44" s="85">
        <f>'Balance Sheet'!G6</f>
        <v>87.65932185905757</v>
      </c>
      <c r="H44" s="85">
        <f>'Balance Sheet'!H6</f>
        <v>118.73983595506445</v>
      </c>
      <c r="I44" s="85">
        <f>'Balance Sheet'!I6</f>
        <v>155.68318742089269</v>
      </c>
      <c r="J44" s="85">
        <f>'Balance Sheet'!J6</f>
        <v>191.55830245379235</v>
      </c>
      <c r="K44" s="59"/>
      <c r="L44" s="59"/>
      <c r="M44" s="59"/>
    </row>
    <row r="45" spans="1:13" ht="4.5" customHeight="1" x14ac:dyDescent="0.35">
      <c r="B45" s="57"/>
      <c r="C45" s="85"/>
      <c r="D45" s="85"/>
      <c r="E45" s="85"/>
      <c r="F45" s="85"/>
      <c r="G45" s="85"/>
      <c r="H45" s="85"/>
      <c r="I45" s="85"/>
      <c r="J45" s="85"/>
      <c r="K45" s="59"/>
      <c r="L45" s="59"/>
      <c r="M45" s="59"/>
    </row>
    <row r="46" spans="1:13" ht="15" customHeight="1" x14ac:dyDescent="0.35">
      <c r="B46" s="74" t="s">
        <v>170</v>
      </c>
      <c r="C46" s="88">
        <f t="shared" ref="C46:J46" si="7">C43-C44</f>
        <v>0</v>
      </c>
      <c r="D46" s="88">
        <f t="shared" si="7"/>
        <v>0</v>
      </c>
      <c r="E46" s="88">
        <f t="shared" si="7"/>
        <v>0</v>
      </c>
      <c r="F46" s="88">
        <f t="shared" si="7"/>
        <v>0</v>
      </c>
      <c r="G46" s="88">
        <f t="shared" si="7"/>
        <v>0</v>
      </c>
      <c r="H46" s="88">
        <f t="shared" si="7"/>
        <v>0</v>
      </c>
      <c r="I46" s="88">
        <f t="shared" si="7"/>
        <v>0</v>
      </c>
      <c r="J46" s="88">
        <f t="shared" si="7"/>
        <v>0</v>
      </c>
      <c r="K46" s="59"/>
      <c r="L46" s="59"/>
      <c r="M46" s="59"/>
    </row>
    <row r="47" spans="1:13" ht="4.5" customHeigh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9"/>
      <c r="L47" s="59"/>
      <c r="M47" s="59"/>
    </row>
    <row r="48" spans="1:13" ht="15" customHeight="1" x14ac:dyDescent="0.35">
      <c r="B48" s="97" t="s">
        <v>171</v>
      </c>
      <c r="C48" s="97"/>
      <c r="D48" s="97"/>
      <c r="E48" s="97"/>
      <c r="F48" s="97"/>
      <c r="G48" s="97"/>
      <c r="H48" s="97"/>
      <c r="I48" s="97"/>
      <c r="J48" s="97"/>
      <c r="K48" s="59"/>
      <c r="L48" s="59"/>
      <c r="M48" s="59"/>
    </row>
    <row r="49" spans="2:13" ht="15" customHeight="1" x14ac:dyDescent="0.35">
      <c r="B49" s="57" t="s">
        <v>172</v>
      </c>
      <c r="C49" s="85">
        <f>IS!C19</f>
        <v>-48.259</v>
      </c>
      <c r="D49" s="85">
        <f>IS!D19</f>
        <v>-50.045999999999978</v>
      </c>
      <c r="E49" s="85">
        <f>IS!E19</f>
        <v>-24.2</v>
      </c>
      <c r="F49" s="85">
        <f>IS!F19</f>
        <v>-5.9768867999999387</v>
      </c>
      <c r="G49" s="85">
        <f>IS!G19</f>
        <v>7.7025137004000186</v>
      </c>
      <c r="H49" s="85">
        <f>IS!H19</f>
        <v>16.274230270276018</v>
      </c>
      <c r="I49" s="85">
        <f>IS!I19</f>
        <v>23.264230682733626</v>
      </c>
      <c r="J49" s="85">
        <f>IS!J19</f>
        <v>27.378961868447306</v>
      </c>
      <c r="K49" s="59"/>
      <c r="L49" s="59"/>
      <c r="M49" s="59"/>
    </row>
    <row r="50" spans="2:13" ht="15" customHeight="1" x14ac:dyDescent="0.35">
      <c r="B50" s="57" t="s">
        <v>173</v>
      </c>
      <c r="C50" s="68">
        <f>C20/IS!C6</f>
        <v>3.3345977447498183E-2</v>
      </c>
      <c r="D50" s="66">
        <f>D20/IS!D6</f>
        <v>-5.9165289360467228E-2</v>
      </c>
      <c r="E50" s="68">
        <f>E20/IS!E6</f>
        <v>2.7281279397930392E-2</v>
      </c>
      <c r="F50" s="68">
        <f>F20/IS!F6</f>
        <v>0.11951664159197155</v>
      </c>
      <c r="G50" s="68">
        <f>G20/IS!G6</f>
        <v>0.11048377186762638</v>
      </c>
      <c r="H50" s="68">
        <f>H20/IS!H6</f>
        <v>0.12635208977881313</v>
      </c>
      <c r="I50" s="68">
        <f>I20/IS!I6</f>
        <v>0.14160433350952573</v>
      </c>
      <c r="J50" s="68">
        <f>J20/IS!J6</f>
        <v>0.13756803206915696</v>
      </c>
      <c r="K50" s="59"/>
      <c r="L50" s="59"/>
      <c r="M50" s="59"/>
    </row>
    <row r="51" spans="2:13" ht="15" customHeight="1" x14ac:dyDescent="0.35">
      <c r="B51" s="57" t="s">
        <v>174</v>
      </c>
      <c r="C51" s="96">
        <f t="shared" ref="C51:J51" si="8">C20+C23</f>
        <v>-1.0970000000000031</v>
      </c>
      <c r="D51" s="96">
        <f t="shared" si="8"/>
        <v>-28.202999999999971</v>
      </c>
      <c r="E51" s="96">
        <f t="shared" si="8"/>
        <v>-1.2999999999999989</v>
      </c>
      <c r="F51" s="63">
        <f t="shared" si="8"/>
        <v>27.134828432876795</v>
      </c>
      <c r="G51" s="63">
        <f t="shared" si="8"/>
        <v>25.02449342618084</v>
      </c>
      <c r="H51" s="63">
        <f t="shared" si="8"/>
        <v>31.080514096006876</v>
      </c>
      <c r="I51" s="63">
        <f t="shared" si="8"/>
        <v>36.943351465828229</v>
      </c>
      <c r="J51" s="63">
        <f t="shared" si="8"/>
        <v>35.875115032899565</v>
      </c>
      <c r="K51" s="59"/>
      <c r="L51" s="59"/>
      <c r="M51" s="59"/>
    </row>
    <row r="52" spans="2:13" ht="15" customHeight="1" x14ac:dyDescent="0.35">
      <c r="B52" s="57" t="s">
        <v>175</v>
      </c>
      <c r="C52" s="66">
        <f>C51/IS!C6</f>
        <v>-3.4389900592183527E-3</v>
      </c>
      <c r="D52" s="66">
        <f>D51/IS!D6</f>
        <v>-8.8956107038770563E-2</v>
      </c>
      <c r="E52" s="66">
        <f>E51/IS!E6</f>
        <v>-4.0765130134838481E-3</v>
      </c>
      <c r="F52" s="68">
        <f>F51/IS!F6</f>
        <v>8.4516641591971545E-2</v>
      </c>
      <c r="G52" s="68">
        <f>G51/IS!G6</f>
        <v>7.5483771867626365E-2</v>
      </c>
      <c r="H52" s="68">
        <f>H51/IS!H6</f>
        <v>9.1352089778813136E-2</v>
      </c>
      <c r="I52" s="68">
        <f>I51/IS!I6</f>
        <v>0.10660433350952574</v>
      </c>
      <c r="J52" s="68">
        <f>J51/IS!J6</f>
        <v>0.10256803206915696</v>
      </c>
      <c r="K52" s="59"/>
      <c r="L52" s="59"/>
      <c r="M52" s="59"/>
    </row>
    <row r="53" spans="2:13" ht="15" customHeight="1" x14ac:dyDescent="0.3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2:13" x14ac:dyDescent="0.35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2:13" x14ac:dyDescent="0.35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2:13" x14ac:dyDescent="0.35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2:13" x14ac:dyDescent="0.3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2:13" x14ac:dyDescent="0.35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2:13" x14ac:dyDescent="0.35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1E5F5"/>
  </sheetPr>
  <dimension ref="A1:S50"/>
  <sheetViews>
    <sheetView showGridLines="0" zoomScaleNormal="100" workbookViewId="0"/>
  </sheetViews>
  <sheetFormatPr defaultColWidth="8.6328125" defaultRowHeight="14.5" x14ac:dyDescent="0.35"/>
  <cols>
    <col min="1" max="1" width="2.6328125" style="56" customWidth="1"/>
    <col min="2" max="2" width="28.453125" style="56" customWidth="1"/>
    <col min="3" max="7" width="15.6328125" style="56" customWidth="1"/>
    <col min="8" max="8" width="2.6328125" style="56" customWidth="1"/>
    <col min="9" max="9" width="29.81640625" style="56" customWidth="1"/>
    <col min="10" max="10" width="15.6328125" style="56" customWidth="1"/>
    <col min="11" max="11" width="2.6328125" style="56" customWidth="1"/>
    <col min="12" max="12" width="16.08984375" style="56" customWidth="1"/>
    <col min="13" max="13" width="9.90625" style="56" customWidth="1"/>
    <col min="14" max="15" width="9.36328125" style="56" customWidth="1"/>
    <col min="16" max="16" width="11.90625" style="56" customWidth="1"/>
    <col min="17" max="18" width="9.36328125" style="56" customWidth="1"/>
    <col min="19" max="16384" width="8.6328125" style="56"/>
  </cols>
  <sheetData>
    <row r="1" spans="1:19" ht="14.25" customHeight="1" x14ac:dyDescent="0.35">
      <c r="A1" s="59"/>
      <c r="B1" s="98" t="s">
        <v>176</v>
      </c>
      <c r="C1" s="99"/>
      <c r="D1" s="99"/>
      <c r="E1" s="99"/>
      <c r="F1" s="99"/>
      <c r="G1" s="99"/>
      <c r="H1" s="59"/>
      <c r="I1" s="5" t="s">
        <v>177</v>
      </c>
      <c r="J1" s="5"/>
      <c r="K1" s="59"/>
      <c r="L1" s="98" t="s">
        <v>15</v>
      </c>
      <c r="M1" s="59"/>
      <c r="N1" s="59"/>
      <c r="O1" s="59"/>
      <c r="P1" s="59"/>
      <c r="Q1" s="59"/>
      <c r="R1" s="59"/>
      <c r="S1" s="59"/>
    </row>
    <row r="2" spans="1:19" ht="14.25" customHeight="1" x14ac:dyDescent="0.35">
      <c r="A2" s="59"/>
      <c r="B2" s="100"/>
      <c r="C2" s="101">
        <v>2027</v>
      </c>
      <c r="D2" s="101">
        <f>C2+1</f>
        <v>2028</v>
      </c>
      <c r="E2" s="101">
        <f>D2+1</f>
        <v>2029</v>
      </c>
      <c r="F2" s="101">
        <f>E2+1</f>
        <v>2030</v>
      </c>
      <c r="G2" s="101">
        <f>F2+1</f>
        <v>2031</v>
      </c>
      <c r="H2" s="59"/>
      <c r="I2" s="102"/>
      <c r="J2" s="102"/>
      <c r="K2" s="59"/>
      <c r="L2" s="103">
        <v>1000000</v>
      </c>
      <c r="M2" s="59"/>
      <c r="N2" s="59"/>
      <c r="O2" s="59"/>
      <c r="P2" s="59"/>
      <c r="Q2" s="59"/>
      <c r="R2" s="59"/>
      <c r="S2" s="59"/>
    </row>
    <row r="3" spans="1:19" ht="14.25" customHeight="1" x14ac:dyDescent="0.35">
      <c r="A3" s="59"/>
      <c r="B3" s="59" t="s">
        <v>178</v>
      </c>
      <c r="C3" s="104">
        <f>IS!F6</f>
        <v>321.05900000000003</v>
      </c>
      <c r="D3" s="104">
        <f>IS!G6</f>
        <v>331.521502</v>
      </c>
      <c r="E3" s="104">
        <f>IS!H6</f>
        <v>340.22772956</v>
      </c>
      <c r="F3" s="104">
        <f>IS!I6</f>
        <v>346.54643249119999</v>
      </c>
      <c r="G3" s="104">
        <f>IS!J6</f>
        <v>349.76897098611198</v>
      </c>
      <c r="H3" s="59"/>
      <c r="I3" s="105" t="s">
        <v>179</v>
      </c>
      <c r="J3" s="106">
        <f>C30</f>
        <v>0.11799999999999999</v>
      </c>
      <c r="K3" s="59"/>
      <c r="L3" s="59"/>
      <c r="M3" s="59"/>
      <c r="N3" s="4" t="s">
        <v>180</v>
      </c>
      <c r="O3" s="4"/>
      <c r="P3" s="4"/>
      <c r="Q3" s="4"/>
      <c r="R3" s="4"/>
      <c r="S3" s="59"/>
    </row>
    <row r="4" spans="1:19" ht="14.25" customHeight="1" x14ac:dyDescent="0.35">
      <c r="A4" s="59"/>
      <c r="B4" s="59" t="s">
        <v>28</v>
      </c>
      <c r="C4" s="107">
        <f>IS!F6/IS!E6-1</f>
        <v>6.7701473816244029E-3</v>
      </c>
      <c r="D4" s="107">
        <f>IS!G6/IS!F6-1</f>
        <v>3.2587474576323938E-2</v>
      </c>
      <c r="E4" s="107">
        <f>IS!H6/IS!G6-1</f>
        <v>2.6261426506205998E-2</v>
      </c>
      <c r="F4" s="107">
        <f>IS!I6/IS!H6-1</f>
        <v>1.8571981006285654E-2</v>
      </c>
      <c r="G4" s="107">
        <f>IS!J6/IS!I6-1</f>
        <v>9.2990092893072696E-3</v>
      </c>
      <c r="H4" s="59"/>
      <c r="I4" s="105" t="s">
        <v>181</v>
      </c>
      <c r="J4" s="73">
        <f>G8*L2</f>
        <v>27378961.868447304</v>
      </c>
      <c r="K4" s="59"/>
      <c r="L4" s="59"/>
      <c r="M4" s="108">
        <f>J23</f>
        <v>5.744219768922993</v>
      </c>
      <c r="N4" s="109">
        <v>5.0999999999999996</v>
      </c>
      <c r="O4" s="109">
        <f>N4+4</f>
        <v>9.1</v>
      </c>
      <c r="P4" s="109">
        <f>O4+4</f>
        <v>13.1</v>
      </c>
      <c r="Q4" s="109">
        <f>P4+4</f>
        <v>17.100000000000001</v>
      </c>
      <c r="R4" s="109">
        <f>Q4+4</f>
        <v>21.1</v>
      </c>
      <c r="S4" s="59"/>
    </row>
    <row r="5" spans="1:19" ht="14.25" customHeight="1" x14ac:dyDescent="0.35">
      <c r="A5" s="59"/>
      <c r="B5" s="59" t="s">
        <v>59</v>
      </c>
      <c r="C5" s="104">
        <f>IS!F12</f>
        <v>246.11864000000003</v>
      </c>
      <c r="D5" s="104">
        <f>IS!G12</f>
        <v>256.27733590000003</v>
      </c>
      <c r="E5" s="104">
        <f>IS!H12</f>
        <v>265.62713326480002</v>
      </c>
      <c r="F5" s="104">
        <f>IS!I12</f>
        <v>274.33712102260802</v>
      </c>
      <c r="G5" s="104">
        <f>IS!J12</f>
        <v>280.54174306819516</v>
      </c>
      <c r="H5" s="59"/>
      <c r="I5" s="105" t="s">
        <v>182</v>
      </c>
      <c r="J5" s="110">
        <f>$C$36</f>
        <v>13.1</v>
      </c>
      <c r="K5" s="59"/>
      <c r="L5" s="3" t="s">
        <v>179</v>
      </c>
      <c r="M5" s="111">
        <v>7.8E-2</v>
      </c>
      <c r="N5" s="112">
        <v>3.1980201519623801</v>
      </c>
      <c r="O5" s="112">
        <v>5.0245171162017499</v>
      </c>
      <c r="P5" s="112">
        <v>6.8510140804411197</v>
      </c>
      <c r="Q5" s="112">
        <v>8.6775110446805002</v>
      </c>
      <c r="R5" s="112">
        <v>10.5040080089199</v>
      </c>
      <c r="S5" s="59"/>
    </row>
    <row r="6" spans="1:19" ht="14.25" customHeight="1" x14ac:dyDescent="0.35">
      <c r="A6" s="59"/>
      <c r="B6" s="59" t="s">
        <v>183</v>
      </c>
      <c r="C6" s="107">
        <f>IS!F13</f>
        <v>0.76658383661569995</v>
      </c>
      <c r="D6" s="107">
        <f>IS!G13</f>
        <v>0.77303382843626245</v>
      </c>
      <c r="E6" s="107">
        <f>IS!H13</f>
        <v>0.78073334471685385</v>
      </c>
      <c r="F6" s="107">
        <f>IS!I13</f>
        <v>0.79163164096220895</v>
      </c>
      <c r="G6" s="107">
        <f>IS!J13</f>
        <v>0.80207727482874525</v>
      </c>
      <c r="H6" s="59"/>
      <c r="I6" s="105" t="s">
        <v>184</v>
      </c>
      <c r="J6" s="73">
        <f>J4*J5</f>
        <v>358664400.47665966</v>
      </c>
      <c r="K6" s="59"/>
      <c r="L6" s="3"/>
      <c r="M6" s="111">
        <v>9.8000000000000004E-2</v>
      </c>
      <c r="N6" s="112">
        <v>2.8791959863620402</v>
      </c>
      <c r="O6" s="113">
        <v>4.5762069091940196</v>
      </c>
      <c r="P6" s="114">
        <v>6.2732178320259999</v>
      </c>
      <c r="Q6" s="115">
        <v>7.97022875485799</v>
      </c>
      <c r="R6" s="112">
        <v>9.6672396776899703</v>
      </c>
      <c r="S6" s="59"/>
    </row>
    <row r="7" spans="1:19" ht="14.25" customHeight="1" x14ac:dyDescent="0.35">
      <c r="A7" s="59"/>
      <c r="B7" s="59" t="s">
        <v>185</v>
      </c>
      <c r="C7" s="116">
        <f>-IS!F18</f>
        <v>-268.14847679999997</v>
      </c>
      <c r="D7" s="116">
        <f>-IS!G18</f>
        <v>-261.83568227960001</v>
      </c>
      <c r="E7" s="116">
        <f>-IS!H18</f>
        <v>-259.559734881324</v>
      </c>
      <c r="F7" s="116">
        <f>-IS!I18</f>
        <v>-259.73655115215439</v>
      </c>
      <c r="G7" s="116">
        <f>-IS!J18</f>
        <v>-260.1581606194701</v>
      </c>
      <c r="H7" s="59"/>
      <c r="I7" s="105" t="s">
        <v>186</v>
      </c>
      <c r="J7" s="117">
        <f>1/((1+G30)^(G2-C2))</f>
        <v>0.64007783109812444</v>
      </c>
      <c r="K7" s="59"/>
      <c r="L7" s="3"/>
      <c r="M7" s="111">
        <v>0.11799999999999999</v>
      </c>
      <c r="N7" s="112">
        <v>2.5866221958646198</v>
      </c>
      <c r="O7" s="118">
        <v>4.16542098239381</v>
      </c>
      <c r="P7" s="119">
        <v>5.7442197689230001</v>
      </c>
      <c r="Q7" s="120">
        <v>7.3230185554521903</v>
      </c>
      <c r="R7" s="112">
        <v>8.9018173419813795</v>
      </c>
      <c r="S7" s="59"/>
    </row>
    <row r="8" spans="1:19" ht="14.25" customHeight="1" x14ac:dyDescent="0.35">
      <c r="A8" s="59"/>
      <c r="B8" s="59" t="s">
        <v>66</v>
      </c>
      <c r="C8" s="116">
        <f>IS!F19</f>
        <v>-5.9768867999999387</v>
      </c>
      <c r="D8" s="116">
        <f>IS!G19</f>
        <v>7.7025137004000186</v>
      </c>
      <c r="E8" s="116">
        <f>IS!H19</f>
        <v>16.274230270276018</v>
      </c>
      <c r="F8" s="116">
        <f>IS!I19</f>
        <v>23.264230682733626</v>
      </c>
      <c r="G8" s="116">
        <f>IS!J19</f>
        <v>27.378961868447306</v>
      </c>
      <c r="H8" s="59"/>
      <c r="I8" s="105"/>
      <c r="J8" s="105"/>
      <c r="K8" s="59"/>
      <c r="L8" s="3"/>
      <c r="M8" s="111">
        <v>0.13800000000000001</v>
      </c>
      <c r="N8" s="112">
        <v>2.3176677607654201</v>
      </c>
      <c r="O8" s="121">
        <v>3.7883706645094799</v>
      </c>
      <c r="P8" s="122">
        <v>5.2590735682535303</v>
      </c>
      <c r="Q8" s="123">
        <v>6.7297764719975799</v>
      </c>
      <c r="R8" s="112">
        <v>8.2004793757416294</v>
      </c>
      <c r="S8" s="59"/>
    </row>
    <row r="9" spans="1:19" ht="14.25" customHeight="1" x14ac:dyDescent="0.35">
      <c r="A9" s="59"/>
      <c r="B9" s="59" t="s">
        <v>187</v>
      </c>
      <c r="C9" s="107">
        <f>IS!F20</f>
        <v>-1.8616163384299889E-2</v>
      </c>
      <c r="D9" s="107">
        <f>IS!G20</f>
        <v>2.3233828436262389E-2</v>
      </c>
      <c r="E9" s="107">
        <f>IS!H20</f>
        <v>4.7833344716853882E-2</v>
      </c>
      <c r="F9" s="107">
        <f>IS!I20</f>
        <v>6.7131640962208972E-2</v>
      </c>
      <c r="G9" s="107">
        <f>IS!J20</f>
        <v>7.8277274828745233E-2</v>
      </c>
      <c r="H9" s="59"/>
      <c r="I9" s="5" t="s">
        <v>29</v>
      </c>
      <c r="J9" s="5"/>
      <c r="K9" s="59"/>
      <c r="L9" s="3"/>
      <c r="M9" s="111">
        <v>0.158</v>
      </c>
      <c r="N9" s="112">
        <v>2.0700081927667502</v>
      </c>
      <c r="O9" s="112">
        <v>3.4417101570826101</v>
      </c>
      <c r="P9" s="112">
        <v>4.8134121213984802</v>
      </c>
      <c r="Q9" s="112">
        <v>6.1851140857143401</v>
      </c>
      <c r="R9" s="112">
        <v>7.5568160500302</v>
      </c>
      <c r="S9" s="59"/>
    </row>
    <row r="10" spans="1:19" ht="14.25" customHeight="1" x14ac:dyDescent="0.35">
      <c r="A10" s="59"/>
      <c r="B10" s="59" t="s">
        <v>188</v>
      </c>
      <c r="C10" s="116">
        <f>-IS!F21</f>
        <v>-16.052950000000003</v>
      </c>
      <c r="D10" s="116">
        <f>-IS!G21</f>
        <v>-13.26086008</v>
      </c>
      <c r="E10" s="116">
        <f>-IS!H21</f>
        <v>-10.2068318868</v>
      </c>
      <c r="F10" s="116">
        <f>-IS!I21</f>
        <v>-8.6636608122799998</v>
      </c>
      <c r="G10" s="116">
        <f>-IS!J21</f>
        <v>-6.9953794197222399</v>
      </c>
      <c r="H10" s="59"/>
      <c r="I10" s="102"/>
      <c r="J10" s="102"/>
      <c r="K10" s="59"/>
      <c r="L10" s="59"/>
      <c r="M10" s="59"/>
      <c r="N10" s="59"/>
      <c r="O10" s="59"/>
      <c r="P10" s="59"/>
      <c r="Q10" s="59"/>
      <c r="R10" s="59"/>
      <c r="S10" s="59"/>
    </row>
    <row r="11" spans="1:19" ht="14.25" customHeight="1" x14ac:dyDescent="0.35">
      <c r="A11" s="59"/>
      <c r="B11" s="59" t="s">
        <v>69</v>
      </c>
      <c r="C11" s="124">
        <f>IS!F22</f>
        <v>0.05</v>
      </c>
      <c r="D11" s="124">
        <f>IS!G22</f>
        <v>0.04</v>
      </c>
      <c r="E11" s="124">
        <f>IS!H22</f>
        <v>0.03</v>
      </c>
      <c r="F11" s="124">
        <f>IS!I22</f>
        <v>2.5000000000000001E-2</v>
      </c>
      <c r="G11" s="124">
        <f>IS!J22</f>
        <v>0.02</v>
      </c>
      <c r="H11" s="59"/>
      <c r="I11" s="105" t="s">
        <v>189</v>
      </c>
      <c r="J11" s="73">
        <f>SUM(C32:G32)*L2</f>
        <v>122170226.19097151</v>
      </c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14.25" customHeight="1" x14ac:dyDescent="0.35">
      <c r="A12" s="59"/>
      <c r="B12" s="59" t="s">
        <v>190</v>
      </c>
      <c r="C12" s="116">
        <f>IS!F23</f>
        <v>-22.029836799999941</v>
      </c>
      <c r="D12" s="116">
        <f>IS!G23</f>
        <v>-5.5583463795999819</v>
      </c>
      <c r="E12" s="116">
        <f>IS!H23</f>
        <v>6.0673983834760179</v>
      </c>
      <c r="F12" s="116">
        <f>IS!I23</f>
        <v>14.600569870453626</v>
      </c>
      <c r="G12" s="116">
        <f>IS!J23</f>
        <v>20.383582448725065</v>
      </c>
      <c r="H12" s="59"/>
      <c r="I12" s="105" t="s">
        <v>191</v>
      </c>
      <c r="J12" s="73">
        <f>J6*J7</f>
        <v>229573131.54920942</v>
      </c>
      <c r="K12" s="59"/>
      <c r="L12" s="59"/>
      <c r="M12" s="59"/>
      <c r="N12" s="59"/>
      <c r="O12" s="59"/>
      <c r="P12" s="59"/>
      <c r="Q12" s="59"/>
      <c r="R12" s="59"/>
      <c r="S12" s="59"/>
    </row>
    <row r="13" spans="1:19" ht="14.25" customHeight="1" x14ac:dyDescent="0.35">
      <c r="A13" s="59"/>
      <c r="B13" s="59" t="s">
        <v>192</v>
      </c>
      <c r="C13" s="107">
        <f>IS!F24</f>
        <v>-6.8616163384299891E-2</v>
      </c>
      <c r="D13" s="107">
        <f>IS!G24</f>
        <v>-1.6766171563737612E-2</v>
      </c>
      <c r="E13" s="107">
        <f>IS!H24</f>
        <v>1.7833344716853883E-2</v>
      </c>
      <c r="F13" s="107">
        <f>IS!I24</f>
        <v>4.2131640962208963E-2</v>
      </c>
      <c r="G13" s="107">
        <f>IS!J24</f>
        <v>5.8277274828745229E-2</v>
      </c>
      <c r="H13" s="59"/>
      <c r="I13" s="105" t="s">
        <v>193</v>
      </c>
      <c r="J13" s="106">
        <f>J12/J15</f>
        <v>0.65267225804669249</v>
      </c>
      <c r="K13" s="59"/>
      <c r="L13" s="59"/>
      <c r="M13" s="125"/>
      <c r="N13" s="59"/>
      <c r="O13" s="126"/>
      <c r="P13" s="127"/>
      <c r="Q13" s="127"/>
      <c r="R13" s="127"/>
      <c r="S13" s="127"/>
    </row>
    <row r="14" spans="1:19" ht="4.5" customHeight="1" x14ac:dyDescent="0.35">
      <c r="A14" s="59"/>
      <c r="B14" s="59"/>
      <c r="C14" s="106"/>
      <c r="D14" s="106"/>
      <c r="E14" s="106"/>
      <c r="F14" s="106"/>
      <c r="G14" s="106"/>
      <c r="H14" s="59"/>
      <c r="I14" s="105"/>
      <c r="J14" s="106"/>
      <c r="K14" s="59"/>
      <c r="L14" s="59"/>
      <c r="M14" s="125"/>
      <c r="N14" s="59"/>
      <c r="O14" s="59"/>
      <c r="P14" s="59"/>
      <c r="Q14" s="59"/>
      <c r="R14" s="59"/>
      <c r="S14" s="59"/>
    </row>
    <row r="15" spans="1:19" ht="14.25" customHeight="1" x14ac:dyDescent="0.35">
      <c r="A15" s="59"/>
      <c r="B15" s="98" t="s">
        <v>194</v>
      </c>
      <c r="C15" s="99"/>
      <c r="D15" s="99"/>
      <c r="E15" s="99"/>
      <c r="F15" s="99"/>
      <c r="G15" s="99"/>
      <c r="H15" s="59"/>
      <c r="I15" s="105" t="s">
        <v>29</v>
      </c>
      <c r="J15" s="73">
        <f>J11+J12</f>
        <v>351743357.74018091</v>
      </c>
      <c r="K15" s="59"/>
      <c r="L15" s="59"/>
      <c r="M15" s="125"/>
      <c r="N15" s="59"/>
      <c r="O15" s="59"/>
      <c r="P15" s="59"/>
      <c r="Q15" s="59"/>
      <c r="R15" s="59"/>
      <c r="S15" s="59"/>
    </row>
    <row r="16" spans="1:19" ht="14.25" customHeight="1" x14ac:dyDescent="0.35">
      <c r="A16" s="59"/>
      <c r="B16" s="100"/>
      <c r="C16" s="101">
        <v>2027</v>
      </c>
      <c r="D16" s="101">
        <f>C16+1</f>
        <v>2028</v>
      </c>
      <c r="E16" s="101">
        <f>D16+1</f>
        <v>2029</v>
      </c>
      <c r="F16" s="101">
        <f>E16+1</f>
        <v>2030</v>
      </c>
      <c r="G16" s="101">
        <f>F16+1</f>
        <v>2031</v>
      </c>
      <c r="H16" s="59"/>
      <c r="I16" s="105"/>
      <c r="J16" s="105"/>
      <c r="K16" s="59"/>
      <c r="L16" s="59"/>
      <c r="M16" s="125"/>
      <c r="N16" s="59"/>
      <c r="O16" s="59"/>
      <c r="P16" s="59"/>
      <c r="Q16" s="59"/>
      <c r="R16" s="59"/>
      <c r="S16" s="59"/>
    </row>
    <row r="17" spans="1:19" ht="14.25" customHeight="1" x14ac:dyDescent="0.35">
      <c r="A17" s="59"/>
      <c r="B17" s="59" t="s">
        <v>195</v>
      </c>
      <c r="C17" s="128">
        <f>IS!F47</f>
        <v>0</v>
      </c>
      <c r="D17" s="128">
        <f>IS!G47</f>
        <v>0</v>
      </c>
      <c r="E17" s="128">
        <f>IS!H47</f>
        <v>0.21</v>
      </c>
      <c r="F17" s="128">
        <f>IS!I47</f>
        <v>0.21</v>
      </c>
      <c r="G17" s="128">
        <f>IS!J47</f>
        <v>0.21</v>
      </c>
      <c r="H17" s="59"/>
      <c r="I17" s="5" t="s">
        <v>21</v>
      </c>
      <c r="J17" s="5"/>
      <c r="K17" s="59"/>
      <c r="L17" s="59"/>
      <c r="M17" s="125"/>
      <c r="N17" s="59"/>
      <c r="O17" s="59"/>
      <c r="P17" s="59"/>
      <c r="Q17" s="59"/>
      <c r="R17" s="59"/>
      <c r="S17" s="59"/>
    </row>
    <row r="18" spans="1:19" ht="14.25" customHeight="1" x14ac:dyDescent="0.35">
      <c r="A18" s="59"/>
      <c r="B18" s="59" t="s">
        <v>196</v>
      </c>
      <c r="C18" s="116">
        <f>IS!F23*(1-IS!F47)</f>
        <v>-22.029836799999941</v>
      </c>
      <c r="D18" s="116">
        <f>IS!G23*(1-IS!G47)</f>
        <v>-5.5583463795999819</v>
      </c>
      <c r="E18" s="116">
        <f>IS!H23*(1-IS!H47)</f>
        <v>4.7932447229460546</v>
      </c>
      <c r="F18" s="116">
        <f>IS!I23*(1-IS!I47)</f>
        <v>11.534450197658364</v>
      </c>
      <c r="G18" s="116">
        <f>IS!J23*(1-IS!J47)</f>
        <v>16.103030134492801</v>
      </c>
      <c r="H18" s="59"/>
      <c r="I18" s="102"/>
      <c r="J18" s="102"/>
      <c r="K18" s="59"/>
      <c r="L18" s="59"/>
      <c r="M18" s="125"/>
      <c r="N18" s="59"/>
      <c r="O18" s="59"/>
      <c r="P18" s="59"/>
      <c r="Q18" s="59"/>
      <c r="R18" s="59"/>
      <c r="S18" s="59"/>
    </row>
    <row r="19" spans="1:19" ht="14.25" customHeight="1" x14ac:dyDescent="0.35">
      <c r="A19" s="59"/>
      <c r="B19" s="59" t="s">
        <v>188</v>
      </c>
      <c r="C19" s="116">
        <f>IS!F21</f>
        <v>16.052950000000003</v>
      </c>
      <c r="D19" s="116">
        <f>IS!G21</f>
        <v>13.26086008</v>
      </c>
      <c r="E19" s="116">
        <f>IS!H21</f>
        <v>10.2068318868</v>
      </c>
      <c r="F19" s="116">
        <f>IS!I21</f>
        <v>8.6636608122799998</v>
      </c>
      <c r="G19" s="116">
        <f>IS!J21</f>
        <v>6.9953794197222399</v>
      </c>
      <c r="H19" s="59"/>
      <c r="I19" s="105" t="s">
        <v>29</v>
      </c>
      <c r="J19" s="73">
        <f>J15</f>
        <v>351743357.74018091</v>
      </c>
      <c r="K19" s="59"/>
      <c r="L19" s="59"/>
      <c r="M19" s="125"/>
      <c r="N19" s="59"/>
      <c r="O19" s="59"/>
      <c r="P19" s="59"/>
      <c r="Q19" s="59"/>
      <c r="R19" s="59"/>
      <c r="S19" s="59"/>
    </row>
    <row r="20" spans="1:19" ht="14.25" customHeight="1" x14ac:dyDescent="0.35">
      <c r="A20" s="59"/>
      <c r="B20" s="59" t="s">
        <v>197</v>
      </c>
      <c r="C20" s="116">
        <f>IS!F32</f>
        <v>51.369440000000004</v>
      </c>
      <c r="D20" s="116">
        <f>IS!G32</f>
        <v>46.413010280000002</v>
      </c>
      <c r="E20" s="116">
        <f>IS!H32</f>
        <v>44.229604842800001</v>
      </c>
      <c r="F20" s="116">
        <f>IS!I32</f>
        <v>41.585571898943996</v>
      </c>
      <c r="G20" s="116">
        <f>IS!J32</f>
        <v>38.474586808472317</v>
      </c>
      <c r="H20" s="59"/>
      <c r="I20" s="105" t="s">
        <v>198</v>
      </c>
      <c r="J20" s="116">
        <f>$C$37</f>
        <v>-96700000</v>
      </c>
      <c r="K20" s="59"/>
      <c r="L20" s="59"/>
      <c r="M20" s="59"/>
      <c r="N20" s="59"/>
      <c r="O20" s="59"/>
      <c r="P20" s="59"/>
      <c r="Q20" s="59"/>
      <c r="R20" s="59"/>
      <c r="S20" s="59"/>
    </row>
    <row r="21" spans="1:19" ht="14.25" customHeight="1" x14ac:dyDescent="0.35">
      <c r="A21" s="59"/>
      <c r="B21" s="59" t="s">
        <v>199</v>
      </c>
      <c r="C21" s="176">
        <f>-IS!F34*C40</f>
        <v>-8.1693462550000007</v>
      </c>
      <c r="D21" s="176">
        <f>-IS!G34*D40</f>
        <v>-9.0273304994600014</v>
      </c>
      <c r="E21" s="176">
        <f>-IS!H34*E40</f>
        <v>-10.2051307481522</v>
      </c>
      <c r="F21" s="176">
        <f>-IS!I34*F40</f>
        <v>-10.394660242573543</v>
      </c>
      <c r="G21" s="176">
        <f>-IS!J34*G40</f>
        <v>-10.491320284728431</v>
      </c>
      <c r="H21" s="59"/>
      <c r="I21" s="105" t="s">
        <v>200</v>
      </c>
      <c r="J21" s="73">
        <f>SUM(J19:J20)</f>
        <v>255043357.74018091</v>
      </c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14.25" customHeight="1" x14ac:dyDescent="0.35">
      <c r="A22" s="59"/>
      <c r="B22" s="59" t="s">
        <v>201</v>
      </c>
      <c r="C22" s="176">
        <f>-IS!F34*(1-C40)</f>
        <v>-3.0677187450000005</v>
      </c>
      <c r="D22" s="176">
        <f>-IS!G34*(1-D40)</f>
        <v>-2.5759220705399999</v>
      </c>
      <c r="E22" s="176">
        <f>-IS!H34*(1-E40)</f>
        <v>-1.7028397864478002</v>
      </c>
      <c r="F22" s="176">
        <f>-IS!I34*(1-F40)</f>
        <v>-1.7344648946184562</v>
      </c>
      <c r="G22" s="176">
        <f>-IS!J34*(1-G40)</f>
        <v>-1.750593699785491</v>
      </c>
      <c r="H22" s="59"/>
      <c r="I22" s="105" t="s">
        <v>202</v>
      </c>
      <c r="J22" s="116">
        <f>$C$38</f>
        <v>44400000</v>
      </c>
      <c r="K22" s="59"/>
      <c r="L22" s="59"/>
      <c r="M22" s="59"/>
      <c r="N22" s="59"/>
      <c r="O22" s="59"/>
      <c r="P22" s="59"/>
      <c r="Q22" s="59"/>
      <c r="R22" s="59"/>
      <c r="S22" s="59"/>
    </row>
    <row r="23" spans="1:19" ht="14.25" customHeight="1" x14ac:dyDescent="0.35">
      <c r="A23" s="59"/>
      <c r="B23" s="59" t="s">
        <v>203</v>
      </c>
      <c r="C23" s="175">
        <f>SUM(C21:C22)</f>
        <v>-11.237065000000001</v>
      </c>
      <c r="D23" s="175">
        <f>SUM(D21:D22)</f>
        <v>-11.603252570000002</v>
      </c>
      <c r="E23" s="175">
        <f>SUM(E21:E22)</f>
        <v>-11.9079705346</v>
      </c>
      <c r="F23" s="175">
        <f>SUM(F21:F22)</f>
        <v>-12.129125137192</v>
      </c>
      <c r="G23" s="175">
        <f>SUM(G21:G22)</f>
        <v>-12.241913984513921</v>
      </c>
      <c r="H23" s="59"/>
      <c r="I23" s="129" t="s">
        <v>204</v>
      </c>
      <c r="J23" s="130">
        <f>J21/J22</f>
        <v>5.744219768922993</v>
      </c>
      <c r="K23" s="59"/>
      <c r="L23" s="59"/>
      <c r="M23" s="59"/>
      <c r="N23" s="59"/>
      <c r="O23" s="59"/>
      <c r="P23" s="59"/>
      <c r="Q23" s="59"/>
      <c r="R23" s="59"/>
      <c r="S23" s="59"/>
    </row>
    <row r="24" spans="1:19" ht="14.25" customHeight="1" x14ac:dyDescent="0.35">
      <c r="A24" s="59"/>
      <c r="B24" s="105" t="s">
        <v>205</v>
      </c>
      <c r="C24" s="176">
        <f>-IS!F6*C41</f>
        <v>-19.263540000000003</v>
      </c>
      <c r="D24" s="176">
        <f>-IS!G6*D41</f>
        <v>-14.918467589999999</v>
      </c>
      <c r="E24" s="176">
        <f>-IS!H6*E41</f>
        <v>-10.2068318868</v>
      </c>
      <c r="F24" s="176">
        <f>-IS!I6*F41</f>
        <v>-6.9309286498239997</v>
      </c>
      <c r="G24" s="176">
        <f>-IS!J6*G41</f>
        <v>-3.4976897098611199</v>
      </c>
      <c r="H24" s="59"/>
      <c r="I24" s="105"/>
      <c r="J24" s="105"/>
      <c r="K24" s="59"/>
      <c r="L24" s="59"/>
      <c r="M24" s="59"/>
      <c r="N24" s="59"/>
      <c r="O24" s="59"/>
      <c r="P24" s="59"/>
      <c r="Q24" s="59"/>
      <c r="R24" s="59"/>
      <c r="S24" s="59"/>
    </row>
    <row r="25" spans="1:19" ht="14.25" customHeight="1" x14ac:dyDescent="0.35">
      <c r="A25" s="59"/>
      <c r="B25" s="105" t="s">
        <v>206</v>
      </c>
      <c r="C25" s="73">
        <f>SUM(C18:C20)+SUM(C23:C24)</f>
        <v>14.891948200000062</v>
      </c>
      <c r="D25" s="73">
        <f>SUM(D18:D20)+SUM(D23:D24)</f>
        <v>27.593803820400019</v>
      </c>
      <c r="E25" s="73">
        <f>SUM(E18:E20)+SUM(E23:E24)</f>
        <v>37.114879031146053</v>
      </c>
      <c r="F25" s="73">
        <f>SUM(F18:F20)+SUM(F23:F24)</f>
        <v>42.723629121866367</v>
      </c>
      <c r="G25" s="73">
        <f>SUM(G18:G20)+SUM(G23:G24)</f>
        <v>45.833392668312321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ht="4.5" customHeight="1" x14ac:dyDescent="0.35">
      <c r="A26" s="59"/>
      <c r="B26" s="105"/>
      <c r="C26" s="106"/>
      <c r="D26" s="106"/>
      <c r="E26" s="106"/>
      <c r="F26" s="106"/>
      <c r="G26" s="106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ht="14.25" customHeight="1" x14ac:dyDescent="0.35">
      <c r="A27" s="59"/>
      <c r="B27" s="98" t="s">
        <v>194</v>
      </c>
      <c r="C27" s="99"/>
      <c r="D27" s="99"/>
      <c r="E27" s="99"/>
      <c r="F27" s="99"/>
      <c r="G27" s="9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4.25" customHeight="1" x14ac:dyDescent="0.35">
      <c r="A28" s="59"/>
      <c r="B28" s="100"/>
      <c r="C28" s="101">
        <v>2027</v>
      </c>
      <c r="D28" s="101">
        <f t="shared" ref="D28:G29" si="0">C28+1</f>
        <v>2028</v>
      </c>
      <c r="E28" s="101">
        <f t="shared" si="0"/>
        <v>2029</v>
      </c>
      <c r="F28" s="101">
        <f t="shared" si="0"/>
        <v>2030</v>
      </c>
      <c r="G28" s="101">
        <f t="shared" si="0"/>
        <v>2031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 ht="14.25" customHeight="1" x14ac:dyDescent="0.35">
      <c r="A29" s="59"/>
      <c r="B29" s="59" t="s">
        <v>207</v>
      </c>
      <c r="C29" s="131">
        <v>0.5</v>
      </c>
      <c r="D29" s="131">
        <f t="shared" si="0"/>
        <v>1.5</v>
      </c>
      <c r="E29" s="131">
        <f t="shared" si="0"/>
        <v>2.5</v>
      </c>
      <c r="F29" s="131">
        <f t="shared" si="0"/>
        <v>3.5</v>
      </c>
      <c r="G29" s="131">
        <f t="shared" si="0"/>
        <v>4.5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 ht="14.25" customHeight="1" x14ac:dyDescent="0.35">
      <c r="A30" s="59"/>
      <c r="B30" s="59" t="s">
        <v>179</v>
      </c>
      <c r="C30" s="132">
        <f>$C$35</f>
        <v>0.11799999999999999</v>
      </c>
      <c r="D30" s="132">
        <f>$C$35</f>
        <v>0.11799999999999999</v>
      </c>
      <c r="E30" s="132">
        <f>$C$35</f>
        <v>0.11799999999999999</v>
      </c>
      <c r="F30" s="132">
        <f>$C$35</f>
        <v>0.11799999999999999</v>
      </c>
      <c r="G30" s="132">
        <f>$C$35</f>
        <v>0.11799999999999999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</row>
    <row r="31" spans="1:19" ht="14.25" customHeight="1" x14ac:dyDescent="0.35">
      <c r="A31" s="59"/>
      <c r="B31" s="59" t="s">
        <v>208</v>
      </c>
      <c r="C31" s="117">
        <f>(1/((1+C30)^C29))</f>
        <v>0.94575598482191792</v>
      </c>
      <c r="D31" s="117">
        <f>(1/((1+D30)^D29))</f>
        <v>0.8459355857083346</v>
      </c>
      <c r="E31" s="117">
        <f>(1/((1+E30)^E29))</f>
        <v>0.75665079222570186</v>
      </c>
      <c r="F31" s="117">
        <f>(1/((1+F30)^F29))</f>
        <v>0.67678961737540422</v>
      </c>
      <c r="G31" s="117">
        <f>(1/((1+G30)^G29))</f>
        <v>0.60535743951288401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3.5" customHeight="1" x14ac:dyDescent="0.35">
      <c r="A32" s="59"/>
      <c r="B32" s="59" t="s">
        <v>209</v>
      </c>
      <c r="C32" s="133">
        <f>C25*C31</f>
        <v>14.084149135808046</v>
      </c>
      <c r="D32" s="133">
        <f>D25*D31</f>
        <v>23.342580596730972</v>
      </c>
      <c r="E32" s="133">
        <f>E25*E31</f>
        <v>28.08300262227775</v>
      </c>
      <c r="F32" s="133">
        <f>F25*F31</f>
        <v>28.914908606276615</v>
      </c>
      <c r="G32" s="133">
        <f>G25*G31</f>
        <v>27.745585229878138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 ht="4.5" customHeight="1" x14ac:dyDescent="0.35">
      <c r="A33" s="59"/>
      <c r="B33" s="59"/>
      <c r="C33" s="59"/>
      <c r="D33" s="134"/>
      <c r="E33" s="59"/>
      <c r="F33" s="134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ht="14.25" customHeight="1" x14ac:dyDescent="0.35">
      <c r="A34" s="59"/>
      <c r="B34" s="135" t="s">
        <v>210</v>
      </c>
      <c r="C34" s="136"/>
      <c r="D34" s="136"/>
      <c r="E34" s="137"/>
      <c r="F34" s="137"/>
      <c r="G34" s="13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14.25" customHeight="1" x14ac:dyDescent="0.35">
      <c r="A35" s="59"/>
      <c r="B35" s="139" t="s">
        <v>179</v>
      </c>
      <c r="C35" s="140">
        <v>0.11799999999999999</v>
      </c>
      <c r="D35" s="141"/>
      <c r="E35" s="142"/>
      <c r="F35" s="142"/>
      <c r="G35" s="143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ht="14.25" customHeight="1" x14ac:dyDescent="0.35">
      <c r="A36" s="59"/>
      <c r="B36" s="144" t="s">
        <v>211</v>
      </c>
      <c r="C36" s="145">
        <v>13.1</v>
      </c>
      <c r="D36" s="146"/>
      <c r="E36" s="146"/>
      <c r="F36" s="146"/>
      <c r="G36" s="147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 ht="14.25" customHeight="1" x14ac:dyDescent="0.35">
      <c r="A37" s="59"/>
      <c r="B37" s="144" t="s">
        <v>212</v>
      </c>
      <c r="C37" s="148">
        <v>-96700000</v>
      </c>
      <c r="D37" s="146"/>
      <c r="E37" s="146"/>
      <c r="F37" s="146"/>
      <c r="G37" s="147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1:19" ht="14.25" customHeight="1" x14ac:dyDescent="0.35">
      <c r="A38" s="59"/>
      <c r="B38" s="149" t="s">
        <v>213</v>
      </c>
      <c r="C38" s="150">
        <v>44400000</v>
      </c>
      <c r="D38" s="151"/>
      <c r="E38" s="151"/>
      <c r="F38" s="151"/>
      <c r="G38" s="152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 x14ac:dyDescent="0.35">
      <c r="B39" s="153" t="s">
        <v>214</v>
      </c>
      <c r="C39" s="154">
        <v>2027</v>
      </c>
      <c r="D39" s="154">
        <v>2028</v>
      </c>
      <c r="E39" s="154">
        <v>2029</v>
      </c>
      <c r="F39" s="154">
        <v>2030</v>
      </c>
      <c r="G39" s="154">
        <v>2031</v>
      </c>
    </row>
    <row r="40" spans="1:19" x14ac:dyDescent="0.35">
      <c r="B40" s="155" t="s">
        <v>215</v>
      </c>
      <c r="C40" s="156">
        <v>0.72699999999999998</v>
      </c>
      <c r="D40" s="156">
        <v>0.77800000000000002</v>
      </c>
      <c r="E40" s="156">
        <v>0.85699999999999998</v>
      </c>
      <c r="F40" s="156">
        <v>0.85699999999999998</v>
      </c>
      <c r="G40" s="156">
        <v>0.85699999999999998</v>
      </c>
    </row>
    <row r="41" spans="1:19" x14ac:dyDescent="0.35">
      <c r="B41" s="155" t="s">
        <v>216</v>
      </c>
      <c r="C41" s="156">
        <v>0.06</v>
      </c>
      <c r="D41" s="156">
        <v>4.4999999999999998E-2</v>
      </c>
      <c r="E41" s="156">
        <v>0.03</v>
      </c>
      <c r="F41" s="156">
        <v>0.02</v>
      </c>
      <c r="G41" s="156">
        <v>0.01</v>
      </c>
    </row>
    <row r="42" spans="1:19" x14ac:dyDescent="0.3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</row>
    <row r="43" spans="1:19" x14ac:dyDescent="0.3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</row>
    <row r="44" spans="1:19" x14ac:dyDescent="0.3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</row>
    <row r="45" spans="1:19" x14ac:dyDescent="0.3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</row>
    <row r="46" spans="1:19" x14ac:dyDescent="0.3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</row>
    <row r="47" spans="1:19" x14ac:dyDescent="0.3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19" x14ac:dyDescent="0.3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19" x14ac:dyDescent="0.3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</row>
    <row r="50" spans="1:19" x14ac:dyDescent="0.3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</sheetData>
  <mergeCells count="5">
    <mergeCell ref="I1:J1"/>
    <mergeCell ref="N3:R3"/>
    <mergeCell ref="L5:L9"/>
    <mergeCell ref="I9:J9"/>
    <mergeCell ref="I17:J17"/>
  </mergeCells>
  <conditionalFormatting sqref="N5:R9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1E5F5"/>
  </sheetPr>
  <dimension ref="B1:M7"/>
  <sheetViews>
    <sheetView showGridLines="0" zoomScaleNormal="100" workbookViewId="0"/>
  </sheetViews>
  <sheetFormatPr defaultColWidth="8.54296875" defaultRowHeight="14.5" x14ac:dyDescent="0.35"/>
  <cols>
    <col min="1" max="1" width="2.6328125" customWidth="1"/>
    <col min="2" max="2" width="23.81640625" customWidth="1"/>
    <col min="3" max="5" width="15.6328125" customWidth="1"/>
    <col min="6" max="6" width="21.26953125" customWidth="1"/>
    <col min="7" max="7" width="2.6328125" customWidth="1"/>
    <col min="10" max="10" width="2.6328125" customWidth="1"/>
    <col min="13" max="13" width="9.36328125" customWidth="1"/>
  </cols>
  <sheetData>
    <row r="1" spans="2:13" x14ac:dyDescent="0.35">
      <c r="B1" s="2" t="s">
        <v>217</v>
      </c>
      <c r="C1" s="2"/>
      <c r="D1" s="2"/>
      <c r="E1" s="2"/>
      <c r="F1" s="2"/>
      <c r="G1" s="158"/>
      <c r="H1" s="159" t="s">
        <v>218</v>
      </c>
      <c r="I1" s="160">
        <v>0.2</v>
      </c>
      <c r="K1" s="1" t="s">
        <v>15</v>
      </c>
      <c r="L1" s="1"/>
      <c r="M1" s="161">
        <v>1000000</v>
      </c>
    </row>
    <row r="2" spans="2:13" x14ac:dyDescent="0.35">
      <c r="B2" s="162"/>
      <c r="C2" s="163" t="s">
        <v>219</v>
      </c>
      <c r="D2" s="163" t="s">
        <v>220</v>
      </c>
      <c r="E2" s="163" t="s">
        <v>221</v>
      </c>
      <c r="F2" s="163" t="s">
        <v>222</v>
      </c>
    </row>
    <row r="3" spans="2:13" x14ac:dyDescent="0.35">
      <c r="B3" t="s">
        <v>223</v>
      </c>
      <c r="C3" s="164">
        <f>D3*(1-$I$1)</f>
        <v>223.73405039825491</v>
      </c>
      <c r="D3" s="164">
        <f>'Comparable Companies'!C15/M1</f>
        <v>279.66756299781861</v>
      </c>
      <c r="E3" s="164">
        <f>D3*(1+$I$1)</f>
        <v>335.60107559738231</v>
      </c>
      <c r="F3" s="164">
        <f>E3-C3</f>
        <v>111.8670251991274</v>
      </c>
    </row>
    <row r="4" spans="2:13" x14ac:dyDescent="0.35">
      <c r="B4" t="s">
        <v>224</v>
      </c>
      <c r="C4" s="164">
        <f>D4*(1-$I$1)</f>
        <v>558.49103204939092</v>
      </c>
      <c r="D4" s="164">
        <f>'Precedent Transactions'!C17/M1</f>
        <v>698.11379006173865</v>
      </c>
      <c r="E4" s="164">
        <f>D4*(1+$I$1)</f>
        <v>837.73654807408639</v>
      </c>
      <c r="F4" s="164">
        <f>E4-C4</f>
        <v>279.24551602469546</v>
      </c>
    </row>
    <row r="5" spans="2:13" x14ac:dyDescent="0.35">
      <c r="B5" t="s">
        <v>225</v>
      </c>
      <c r="C5" s="164">
        <f>D5*(1-$I$1)</f>
        <v>281.39468619214472</v>
      </c>
      <c r="D5" s="164">
        <f>DCF!J19/M1</f>
        <v>351.7433577401809</v>
      </c>
      <c r="E5" s="164">
        <f>D5*(1+$I$1)</f>
        <v>422.09202928821708</v>
      </c>
      <c r="F5" s="164">
        <f>E5-C5</f>
        <v>140.69734309607236</v>
      </c>
    </row>
    <row r="6" spans="2:13" ht="4.5" customHeight="1" x14ac:dyDescent="0.35">
      <c r="F6" s="165"/>
    </row>
    <row r="7" spans="2:13" x14ac:dyDescent="0.35">
      <c r="B7" s="166" t="s">
        <v>13</v>
      </c>
      <c r="C7" s="167"/>
      <c r="D7" s="168">
        <f>MEDIAN(D3:D5)</f>
        <v>351.7433577401809</v>
      </c>
    </row>
  </sheetData>
  <mergeCells count="2">
    <mergeCell ref="B1:F1"/>
    <mergeCell ref="K1:L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Analysis-&gt;</vt:lpstr>
      <vt:lpstr>Precedent Transactions</vt:lpstr>
      <vt:lpstr>Comparable Companies</vt:lpstr>
      <vt:lpstr>IS</vt:lpstr>
      <vt:lpstr>Balance Sheet</vt:lpstr>
      <vt:lpstr>Cash Flow</vt:lpstr>
      <vt:lpstr>DCF</vt:lpstr>
      <vt:lpstr>Football Field</vt:lpstr>
      <vt:lpstr>Targe Price Weighting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Dario III</dc:creator>
  <dc:description/>
  <cp:lastModifiedBy>Dario Martinez</cp:lastModifiedBy>
  <cp:revision>1</cp:revision>
  <dcterms:created xsi:type="dcterms:W3CDTF">2026-04-04T20:09:41Z</dcterms:created>
  <dcterms:modified xsi:type="dcterms:W3CDTF">2026-05-17T23:00:22Z</dcterms:modified>
  <dc:language>en-US</dc:language>
</cp:coreProperties>
</file>